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. GT Santé-Environnement\OUTILS\"/>
    </mc:Choice>
  </mc:AlternateContent>
  <bookViews>
    <workbookView xWindow="0" yWindow="0" windowWidth="20490" windowHeight="7020"/>
  </bookViews>
  <sheets>
    <sheet name="A LIRE EN PREMIER" sheetId="2" r:id="rId1"/>
    <sheet name="Résultats" sheetId="6" r:id="rId2"/>
    <sheet name="Paramètres et valeurs" sheetId="5" r:id="rId3"/>
    <sheet name="Annexe" sheetId="4" r:id="rId4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F5" i="6" l="1"/>
  <c r="E5" i="6"/>
  <c r="D5" i="6"/>
  <c r="D20" i="6" l="1"/>
  <c r="D85" i="6" l="1"/>
  <c r="E85" i="6"/>
  <c r="D55" i="6"/>
  <c r="F85" i="6" l="1"/>
  <c r="C17" i="5"/>
  <c r="C12" i="5" l="1"/>
  <c r="E60" i="4" l="1"/>
  <c r="E58" i="4"/>
  <c r="E56" i="4"/>
  <c r="E54" i="4"/>
  <c r="E52" i="4"/>
  <c r="E50" i="4"/>
  <c r="E48" i="4"/>
  <c r="E46" i="4"/>
  <c r="E44" i="4"/>
  <c r="E42" i="4"/>
  <c r="E40" i="4"/>
  <c r="E34" i="4"/>
  <c r="E32" i="4"/>
  <c r="E30" i="4"/>
  <c r="E28" i="4"/>
  <c r="E26" i="4"/>
  <c r="E24" i="4"/>
  <c r="E22" i="4"/>
  <c r="E20" i="4"/>
  <c r="E18" i="4"/>
  <c r="E16" i="4"/>
  <c r="E14" i="4"/>
  <c r="H60" i="4" l="1"/>
  <c r="H58" i="4"/>
  <c r="H56" i="4"/>
  <c r="H54" i="4"/>
  <c r="L54" i="4" s="1"/>
  <c r="H52" i="4"/>
  <c r="H50" i="4"/>
  <c r="L50" i="4" s="1"/>
  <c r="H48" i="4"/>
  <c r="H46" i="4"/>
  <c r="H44" i="4"/>
  <c r="H42" i="4"/>
  <c r="L42" i="4" s="1"/>
  <c r="H40" i="4"/>
  <c r="L40" i="4" s="1"/>
  <c r="H34" i="4"/>
  <c r="H32" i="4"/>
  <c r="H30" i="4"/>
  <c r="H28" i="4"/>
  <c r="L28" i="4" s="1"/>
  <c r="H26" i="4"/>
  <c r="H24" i="4"/>
  <c r="H22" i="4"/>
  <c r="H20" i="4"/>
  <c r="H18" i="4"/>
  <c r="H16" i="4"/>
  <c r="H14" i="4" l="1"/>
  <c r="L14" i="4" s="1"/>
  <c r="D117" i="5" l="1"/>
  <c r="C117" i="5"/>
  <c r="D114" i="5"/>
  <c r="C114" i="5"/>
  <c r="D108" i="5"/>
  <c r="D105" i="5"/>
  <c r="D99" i="5"/>
  <c r="C99" i="5"/>
  <c r="D96" i="5"/>
  <c r="C96" i="5"/>
  <c r="D90" i="5"/>
  <c r="C90" i="5"/>
  <c r="D87" i="5"/>
  <c r="C87" i="5"/>
  <c r="D81" i="5"/>
  <c r="C81" i="5"/>
  <c r="D78" i="5"/>
  <c r="C78" i="5"/>
  <c r="D72" i="5"/>
  <c r="C72" i="5"/>
  <c r="D69" i="5"/>
  <c r="C69" i="5"/>
  <c r="D63" i="5"/>
  <c r="C63" i="5"/>
  <c r="D60" i="5"/>
  <c r="C60" i="5"/>
  <c r="D54" i="5"/>
  <c r="C54" i="5"/>
  <c r="D51" i="5"/>
  <c r="C51" i="5"/>
  <c r="D45" i="5"/>
  <c r="C45" i="5"/>
  <c r="D42" i="5"/>
  <c r="C42" i="5"/>
  <c r="D36" i="5"/>
  <c r="C36" i="5"/>
  <c r="D33" i="5"/>
  <c r="C33" i="5"/>
  <c r="D27" i="5"/>
  <c r="C27" i="5"/>
  <c r="D24" i="5"/>
  <c r="C24" i="5"/>
  <c r="F111" i="5" l="1"/>
  <c r="E111" i="5"/>
  <c r="F102" i="5"/>
  <c r="E108" i="5"/>
  <c r="E105" i="5"/>
  <c r="E102" i="5"/>
  <c r="F93" i="5"/>
  <c r="E93" i="5"/>
  <c r="F84" i="5"/>
  <c r="E84" i="5"/>
  <c r="F75" i="5"/>
  <c r="E75" i="5"/>
  <c r="F66" i="5"/>
  <c r="E66" i="5"/>
  <c r="F57" i="5"/>
  <c r="E57" i="5"/>
  <c r="F48" i="5"/>
  <c r="E48" i="5"/>
  <c r="F39" i="5"/>
  <c r="E39" i="5"/>
  <c r="F30" i="5"/>
  <c r="E30" i="5"/>
  <c r="F21" i="5"/>
  <c r="E21" i="5"/>
  <c r="F18" i="5"/>
  <c r="F14" i="5"/>
  <c r="E18" i="5"/>
  <c r="E14" i="5"/>
  <c r="F10" i="5"/>
  <c r="E10" i="5"/>
  <c r="F11" i="5"/>
  <c r="E11" i="5"/>
  <c r="F9" i="5"/>
  <c r="E9" i="5"/>
  <c r="D12" i="5"/>
  <c r="E12" i="5"/>
  <c r="F12" i="5" l="1"/>
  <c r="F45" i="5"/>
  <c r="E45" i="5"/>
  <c r="F42" i="5"/>
  <c r="E42" i="5"/>
  <c r="L32" i="4" l="1"/>
  <c r="K37" i="4"/>
  <c r="K11" i="4"/>
  <c r="D91" i="5" l="1"/>
  <c r="F91" i="5" s="1"/>
  <c r="L44" i="4"/>
  <c r="J58" i="4" l="1"/>
  <c r="F107" i="5" s="1"/>
  <c r="I58" i="4"/>
  <c r="L46" i="4"/>
  <c r="D55" i="5" s="1"/>
  <c r="F55" i="5" s="1"/>
  <c r="I56" i="4"/>
  <c r="D98" i="5" s="1"/>
  <c r="J56" i="4"/>
  <c r="F98" i="5" s="1"/>
  <c r="L56" i="4"/>
  <c r="D100" i="5" s="1"/>
  <c r="F100" i="5" s="1"/>
  <c r="D73" i="5"/>
  <c r="F73" i="5" s="1"/>
  <c r="L58" i="4"/>
  <c r="D109" i="5" s="1"/>
  <c r="F109" i="5" s="1"/>
  <c r="J48" i="4"/>
  <c r="F62" i="5" s="1"/>
  <c r="I48" i="4"/>
  <c r="L48" i="4"/>
  <c r="D64" i="5" s="1"/>
  <c r="F64" i="5" s="1"/>
  <c r="J50" i="4"/>
  <c r="F71" i="5" s="1"/>
  <c r="I50" i="4"/>
  <c r="D71" i="5" s="1"/>
  <c r="J52" i="4"/>
  <c r="F80" i="5" s="1"/>
  <c r="I52" i="4"/>
  <c r="D80" i="5" s="1"/>
  <c r="I60" i="4"/>
  <c r="D116" i="5" s="1"/>
  <c r="J60" i="4"/>
  <c r="F116" i="5" s="1"/>
  <c r="I42" i="4"/>
  <c r="D35" i="5" s="1"/>
  <c r="J42" i="4"/>
  <c r="F35" i="5" s="1"/>
  <c r="L52" i="4"/>
  <c r="D82" i="5" s="1"/>
  <c r="F82" i="5" s="1"/>
  <c r="L60" i="4"/>
  <c r="D118" i="5" s="1"/>
  <c r="F118" i="5" s="1"/>
  <c r="I40" i="4"/>
  <c r="D26" i="5" s="1"/>
  <c r="J40" i="4"/>
  <c r="F26" i="5" s="1"/>
  <c r="D28" i="5"/>
  <c r="F28" i="5" s="1"/>
  <c r="D37" i="5"/>
  <c r="F37" i="5" s="1"/>
  <c r="J46" i="4"/>
  <c r="F53" i="5" s="1"/>
  <c r="I46" i="4"/>
  <c r="D53" i="5" s="1"/>
  <c r="I54" i="4"/>
  <c r="D89" i="5" s="1"/>
  <c r="J54" i="4"/>
  <c r="F89" i="5" s="1"/>
  <c r="J44" i="4"/>
  <c r="F44" i="5" s="1"/>
  <c r="I44" i="4"/>
  <c r="D44" i="5" s="1"/>
  <c r="D46" i="5"/>
  <c r="F46" i="5" s="1"/>
  <c r="N60" i="4"/>
  <c r="D115" i="5" s="1"/>
  <c r="F115" i="5" s="1"/>
  <c r="D107" i="5"/>
  <c r="N56" i="4"/>
  <c r="D97" i="5" s="1"/>
  <c r="F97" i="5" s="1"/>
  <c r="N52" i="4"/>
  <c r="D79" i="5" s="1"/>
  <c r="F79" i="5" s="1"/>
  <c r="N50" i="4"/>
  <c r="D70" i="5" s="1"/>
  <c r="F70" i="5" s="1"/>
  <c r="D62" i="5"/>
  <c r="N42" i="4"/>
  <c r="D34" i="5" s="1"/>
  <c r="F34" i="5" s="1"/>
  <c r="N40" i="4"/>
  <c r="N44" i="4"/>
  <c r="N46" i="4"/>
  <c r="N48" i="4"/>
  <c r="N54" i="4"/>
  <c r="N58" i="4"/>
  <c r="E17" i="5"/>
  <c r="D17" i="5"/>
  <c r="F17" i="5" s="1"/>
  <c r="D106" i="5" l="1"/>
  <c r="F106" i="5" s="1"/>
  <c r="D88" i="5"/>
  <c r="F88" i="5" s="1"/>
  <c r="D61" i="5"/>
  <c r="F61" i="5" s="1"/>
  <c r="D52" i="5"/>
  <c r="F52" i="5" s="1"/>
  <c r="D43" i="5"/>
  <c r="F43" i="5" s="1"/>
  <c r="D25" i="5"/>
  <c r="F25" i="5" s="1"/>
  <c r="E117" i="5"/>
  <c r="E114" i="5"/>
  <c r="E99" i="5"/>
  <c r="E96" i="5"/>
  <c r="E90" i="5"/>
  <c r="E87" i="5"/>
  <c r="E81" i="5"/>
  <c r="E78" i="5"/>
  <c r="E72" i="5"/>
  <c r="E69" i="5"/>
  <c r="E63" i="5"/>
  <c r="E60" i="5"/>
  <c r="E54" i="5"/>
  <c r="E51" i="5"/>
  <c r="E36" i="5"/>
  <c r="E33" i="5"/>
  <c r="E27" i="5"/>
  <c r="E24" i="5"/>
  <c r="N26" i="4" l="1"/>
  <c r="C79" i="5" s="1"/>
  <c r="E79" i="5" s="1"/>
  <c r="I26" i="4"/>
  <c r="J26" i="4"/>
  <c r="E80" i="5" s="1"/>
  <c r="N28" i="4"/>
  <c r="C88" i="5" s="1"/>
  <c r="E88" i="5" s="1"/>
  <c r="I28" i="4"/>
  <c r="J28" i="4"/>
  <c r="E89" i="5" s="1"/>
  <c r="N20" i="4"/>
  <c r="C52" i="5" s="1"/>
  <c r="E52" i="5" s="1"/>
  <c r="J20" i="4"/>
  <c r="E53" i="5" s="1"/>
  <c r="I20" i="4"/>
  <c r="N30" i="4"/>
  <c r="C97" i="5" s="1"/>
  <c r="E97" i="5" s="1"/>
  <c r="J30" i="4"/>
  <c r="E98" i="5" s="1"/>
  <c r="I30" i="4"/>
  <c r="N24" i="4"/>
  <c r="C70" i="5" s="1"/>
  <c r="E70" i="5" s="1"/>
  <c r="I24" i="4"/>
  <c r="J24" i="4"/>
  <c r="E71" i="5" s="1"/>
  <c r="N16" i="4"/>
  <c r="C34" i="5" s="1"/>
  <c r="J16" i="4"/>
  <c r="E35" i="5" s="1"/>
  <c r="I16" i="4"/>
  <c r="N32" i="4"/>
  <c r="C106" i="5" s="1"/>
  <c r="E106" i="5" s="1"/>
  <c r="I32" i="4"/>
  <c r="J32" i="4"/>
  <c r="E107" i="5" s="1"/>
  <c r="N22" i="4"/>
  <c r="C61" i="5" s="1"/>
  <c r="E61" i="5" s="1"/>
  <c r="I22" i="4"/>
  <c r="J22" i="4"/>
  <c r="E62" i="5" s="1"/>
  <c r="N14" i="4"/>
  <c r="C25" i="5" s="1"/>
  <c r="E25" i="5" s="1"/>
  <c r="J14" i="4"/>
  <c r="E26" i="5" s="1"/>
  <c r="I14" i="4"/>
  <c r="N34" i="4"/>
  <c r="C115" i="5" s="1"/>
  <c r="E115" i="5" s="1"/>
  <c r="J34" i="4"/>
  <c r="E116" i="5" s="1"/>
  <c r="I34" i="4"/>
  <c r="N18" i="4"/>
  <c r="C43" i="5" s="1"/>
  <c r="E43" i="5" s="1"/>
  <c r="J18" i="4"/>
  <c r="E44" i="5" s="1"/>
  <c r="I18" i="4"/>
  <c r="L34" i="4"/>
  <c r="L30" i="4"/>
  <c r="L26" i="4"/>
  <c r="L24" i="4"/>
  <c r="L22" i="4"/>
  <c r="L20" i="4"/>
  <c r="L18" i="4"/>
  <c r="L16" i="4"/>
  <c r="E34" i="5" l="1"/>
  <c r="C118" i="5"/>
  <c r="E118" i="5" s="1"/>
  <c r="C109" i="5"/>
  <c r="E109" i="5" s="1"/>
  <c r="C100" i="5"/>
  <c r="E100" i="5" s="1"/>
  <c r="C91" i="5"/>
  <c r="E91" i="5" s="1"/>
  <c r="C82" i="5"/>
  <c r="E82" i="5" s="1"/>
  <c r="C73" i="5"/>
  <c r="E73" i="5" s="1"/>
  <c r="C64" i="5"/>
  <c r="E64" i="5" s="1"/>
  <c r="C55" i="5"/>
  <c r="E55" i="5" s="1"/>
  <c r="C46" i="5"/>
  <c r="E46" i="5" s="1"/>
  <c r="C37" i="5"/>
  <c r="E37" i="5" s="1"/>
  <c r="C28" i="5"/>
  <c r="E28" i="5" s="1"/>
  <c r="C116" i="5" l="1"/>
  <c r="C107" i="5"/>
  <c r="C98" i="5"/>
  <c r="C89" i="5"/>
  <c r="C80" i="5"/>
  <c r="C71" i="5"/>
  <c r="C62" i="5"/>
  <c r="C53" i="5"/>
  <c r="C44" i="5"/>
  <c r="C35" i="5"/>
  <c r="C26" i="5"/>
  <c r="I11" i="6" l="1"/>
  <c r="J11" i="6"/>
  <c r="F108" i="5" l="1"/>
  <c r="F105" i="5"/>
  <c r="F78" i="5" l="1"/>
  <c r="F81" i="5"/>
  <c r="F69" i="5"/>
  <c r="F72" i="5"/>
  <c r="F60" i="5"/>
  <c r="F63" i="5"/>
  <c r="F51" i="5"/>
  <c r="F54" i="5"/>
  <c r="F33" i="5"/>
  <c r="F36" i="5"/>
  <c r="F24" i="5"/>
  <c r="F27" i="5"/>
  <c r="F114" i="5"/>
  <c r="F117" i="5"/>
  <c r="F96" i="5"/>
  <c r="F99" i="5"/>
  <c r="F87" i="5"/>
  <c r="F90" i="5"/>
  <c r="J85" i="6" l="1"/>
  <c r="J65" i="6"/>
  <c r="J50" i="6"/>
  <c r="J45" i="6"/>
  <c r="J66" i="6" l="1"/>
  <c r="J67" i="6"/>
  <c r="J68" i="6"/>
  <c r="J46" i="6"/>
  <c r="J47" i="6"/>
  <c r="J48" i="6"/>
  <c r="J86" i="6"/>
  <c r="J87" i="6"/>
  <c r="J88" i="6"/>
  <c r="J51" i="6"/>
  <c r="J52" i="6"/>
  <c r="J53" i="6"/>
  <c r="J70" i="6"/>
  <c r="J35" i="6"/>
  <c r="J75" i="6"/>
  <c r="J40" i="6"/>
  <c r="J55" i="6"/>
  <c r="J60" i="6"/>
  <c r="J80" i="6"/>
  <c r="J76" i="6" l="1"/>
  <c r="J78" i="6"/>
  <c r="J77" i="6"/>
  <c r="J61" i="6"/>
  <c r="J62" i="6"/>
  <c r="J63" i="6"/>
  <c r="J41" i="6"/>
  <c r="J42" i="6"/>
  <c r="J43" i="6"/>
  <c r="J36" i="6"/>
  <c r="J38" i="6"/>
  <c r="J37" i="6"/>
  <c r="J81" i="6"/>
  <c r="J82" i="6"/>
  <c r="J83" i="6"/>
  <c r="J71" i="6"/>
  <c r="J72" i="6"/>
  <c r="J73" i="6"/>
  <c r="J56" i="6"/>
  <c r="J58" i="6"/>
  <c r="J57" i="6"/>
  <c r="J30" i="6" l="1"/>
  <c r="J32" i="6"/>
  <c r="J26" i="6"/>
  <c r="J24" i="6"/>
  <c r="J25" i="6"/>
  <c r="J31" i="6"/>
  <c r="J28" i="6" s="1"/>
  <c r="J29" i="6" l="1"/>
  <c r="J27" i="6"/>
  <c r="J124" i="6"/>
  <c r="J125" i="6" s="1"/>
  <c r="J127" i="6"/>
  <c r="J128" i="6" s="1"/>
  <c r="J100" i="6" l="1"/>
  <c r="J101" i="6" s="1"/>
  <c r="J97" i="6"/>
  <c r="J118" i="6"/>
  <c r="J119" i="6" s="1"/>
  <c r="J121" i="6" l="1"/>
  <c r="J122" i="6" s="1"/>
  <c r="J98" i="6"/>
  <c r="J106" i="6" l="1"/>
  <c r="J107" i="6" s="1"/>
  <c r="J115" i="6"/>
  <c r="J116" i="6" s="1"/>
  <c r="J109" i="6"/>
  <c r="J110" i="6" s="1"/>
  <c r="J112" i="6"/>
  <c r="J113" i="6" s="1"/>
  <c r="J103" i="6"/>
  <c r="J104" i="6" l="1"/>
  <c r="J20" i="6"/>
  <c r="J21" i="6" s="1"/>
  <c r="J94" i="6" l="1"/>
  <c r="J93" i="6"/>
  <c r="D112" i="5" l="1"/>
  <c r="I85" i="6"/>
  <c r="C112" i="5"/>
  <c r="D103" i="5"/>
  <c r="I80" i="6"/>
  <c r="C103" i="5"/>
  <c r="D94" i="5"/>
  <c r="I75" i="6"/>
  <c r="C94" i="5"/>
  <c r="D85" i="5"/>
  <c r="I70" i="6"/>
  <c r="C85" i="5"/>
  <c r="D76" i="5"/>
  <c r="I65" i="6"/>
  <c r="C76" i="5"/>
  <c r="D67" i="5"/>
  <c r="I60" i="6"/>
  <c r="C67" i="5"/>
  <c r="D58" i="5"/>
  <c r="I55" i="6"/>
  <c r="C58" i="5"/>
  <c r="D49" i="5"/>
  <c r="I50" i="6"/>
  <c r="C49" i="5"/>
  <c r="D40" i="5"/>
  <c r="I45" i="6"/>
  <c r="C40" i="5"/>
  <c r="D31" i="5"/>
  <c r="I40" i="6"/>
  <c r="C31" i="5"/>
  <c r="D22" i="5"/>
  <c r="I35" i="6"/>
  <c r="C22" i="5"/>
  <c r="D15" i="5"/>
  <c r="C15" i="5"/>
  <c r="D59" i="5" l="1"/>
  <c r="F58" i="5"/>
  <c r="C113" i="5"/>
  <c r="E112" i="5"/>
  <c r="C86" i="5"/>
  <c r="E85" i="5"/>
  <c r="C41" i="5"/>
  <c r="E40" i="5"/>
  <c r="D113" i="5"/>
  <c r="F112" i="5"/>
  <c r="D68" i="5"/>
  <c r="F67" i="5"/>
  <c r="C16" i="5"/>
  <c r="E16" i="5" s="1"/>
  <c r="E15" i="5"/>
  <c r="C68" i="5"/>
  <c r="E67" i="5"/>
  <c r="C23" i="5"/>
  <c r="E22" i="5"/>
  <c r="C95" i="5"/>
  <c r="E94" i="5"/>
  <c r="D23" i="5"/>
  <c r="F22" i="5"/>
  <c r="C77" i="5"/>
  <c r="E76" i="5"/>
  <c r="D95" i="5"/>
  <c r="F94" i="5"/>
  <c r="D32" i="5"/>
  <c r="F31" i="5"/>
  <c r="D16" i="5"/>
  <c r="F16" i="5" s="1"/>
  <c r="F15" i="5"/>
  <c r="D41" i="5"/>
  <c r="F40" i="5"/>
  <c r="C32" i="5"/>
  <c r="E31" i="5"/>
  <c r="D50" i="5"/>
  <c r="F49" i="5"/>
  <c r="C104" i="5"/>
  <c r="E103" i="5"/>
  <c r="D104" i="5"/>
  <c r="F103" i="5"/>
  <c r="D86" i="5"/>
  <c r="F85" i="5"/>
  <c r="C50" i="5"/>
  <c r="E49" i="5"/>
  <c r="C59" i="5"/>
  <c r="E58" i="5"/>
  <c r="D77" i="5"/>
  <c r="F76" i="5"/>
  <c r="I41" i="6"/>
  <c r="I43" i="6"/>
  <c r="I42" i="6"/>
  <c r="I81" i="6"/>
  <c r="I83" i="6"/>
  <c r="I82" i="6"/>
  <c r="I76" i="6"/>
  <c r="I77" i="6"/>
  <c r="I78" i="6"/>
  <c r="I56" i="6"/>
  <c r="I57" i="6"/>
  <c r="I58" i="6"/>
  <c r="I36" i="6"/>
  <c r="I37" i="6"/>
  <c r="I38" i="6"/>
  <c r="I71" i="6"/>
  <c r="I72" i="6"/>
  <c r="I73" i="6"/>
  <c r="I46" i="6"/>
  <c r="I47" i="6"/>
  <c r="I48" i="6"/>
  <c r="I86" i="6"/>
  <c r="I87" i="6"/>
  <c r="I88" i="6"/>
  <c r="I61" i="6"/>
  <c r="I63" i="6"/>
  <c r="I62" i="6"/>
  <c r="I51" i="6"/>
  <c r="I52" i="6"/>
  <c r="I53" i="6"/>
  <c r="I66" i="6"/>
  <c r="I68" i="6"/>
  <c r="I67" i="6"/>
  <c r="I124" i="6"/>
  <c r="I125" i="6" s="1"/>
  <c r="I112" i="6"/>
  <c r="I113" i="6" s="1"/>
  <c r="I100" i="6"/>
  <c r="I101" i="6" s="1"/>
  <c r="I121" i="6"/>
  <c r="I122" i="6" s="1"/>
  <c r="I109" i="6"/>
  <c r="I110" i="6" s="1"/>
  <c r="I97" i="6"/>
  <c r="I115" i="6"/>
  <c r="I116" i="6" s="1"/>
  <c r="I118" i="6"/>
  <c r="I119" i="6" s="1"/>
  <c r="I127" i="6"/>
  <c r="I128" i="6" s="1"/>
  <c r="I106" i="6"/>
  <c r="I107" i="6" s="1"/>
  <c r="I103" i="6"/>
  <c r="I104" i="6" s="1"/>
  <c r="D21" i="6" l="1"/>
  <c r="E109" i="6"/>
  <c r="E110" i="6" s="1"/>
  <c r="E100" i="6"/>
  <c r="E101" i="6" s="1"/>
  <c r="E112" i="6"/>
  <c r="E113" i="6" s="1"/>
  <c r="D109" i="6"/>
  <c r="D110" i="6" s="1"/>
  <c r="D97" i="6"/>
  <c r="D98" i="6" s="1"/>
  <c r="E121" i="6"/>
  <c r="E122" i="6" s="1"/>
  <c r="D127" i="6"/>
  <c r="D128" i="6" s="1"/>
  <c r="E124" i="6"/>
  <c r="E125" i="6" s="1"/>
  <c r="D106" i="6"/>
  <c r="D107" i="6" s="1"/>
  <c r="D121" i="6"/>
  <c r="D122" i="6" s="1"/>
  <c r="D115" i="6"/>
  <c r="D116" i="6" s="1"/>
  <c r="E20" i="6"/>
  <c r="E21" i="6" s="1"/>
  <c r="E106" i="6"/>
  <c r="E107" i="6" s="1"/>
  <c r="E103" i="6"/>
  <c r="E104" i="6" s="1"/>
  <c r="D100" i="6"/>
  <c r="D101" i="6" s="1"/>
  <c r="D112" i="6"/>
  <c r="D113" i="6" s="1"/>
  <c r="E118" i="6"/>
  <c r="E119" i="6" s="1"/>
  <c r="E127" i="6"/>
  <c r="E128" i="6" s="1"/>
  <c r="D124" i="6"/>
  <c r="D125" i="6" s="1"/>
  <c r="D118" i="6"/>
  <c r="D119" i="6" s="1"/>
  <c r="E65" i="6"/>
  <c r="F77" i="5"/>
  <c r="H65" i="6" s="1"/>
  <c r="E80" i="6"/>
  <c r="F104" i="5"/>
  <c r="H80" i="6" s="1"/>
  <c r="E45" i="6"/>
  <c r="F41" i="5"/>
  <c r="H45" i="6" s="1"/>
  <c r="D65" i="6"/>
  <c r="E77" i="5"/>
  <c r="G65" i="6" s="1"/>
  <c r="D60" i="6"/>
  <c r="E68" i="5"/>
  <c r="G60" i="6" s="1"/>
  <c r="D45" i="6"/>
  <c r="E41" i="5"/>
  <c r="G45" i="6" s="1"/>
  <c r="E59" i="5"/>
  <c r="G55" i="6" s="1"/>
  <c r="D80" i="6"/>
  <c r="E104" i="5"/>
  <c r="G80" i="6" s="1"/>
  <c r="E35" i="6"/>
  <c r="F23" i="5"/>
  <c r="H35" i="6" s="1"/>
  <c r="D70" i="6"/>
  <c r="E86" i="5"/>
  <c r="G70" i="6" s="1"/>
  <c r="D50" i="6"/>
  <c r="E50" i="5"/>
  <c r="G50" i="6" s="1"/>
  <c r="E50" i="6"/>
  <c r="F50" i="5"/>
  <c r="H50" i="6" s="1"/>
  <c r="E40" i="6"/>
  <c r="F32" i="5"/>
  <c r="H40" i="6" s="1"/>
  <c r="H41" i="6" s="1"/>
  <c r="D75" i="6"/>
  <c r="D78" i="6" s="1"/>
  <c r="E95" i="5"/>
  <c r="G75" i="6" s="1"/>
  <c r="G78" i="6" s="1"/>
  <c r="E60" i="6"/>
  <c r="F68" i="5"/>
  <c r="H60" i="6" s="1"/>
  <c r="E113" i="5"/>
  <c r="G85" i="6" s="1"/>
  <c r="E97" i="6"/>
  <c r="E98" i="6" s="1"/>
  <c r="E115" i="6"/>
  <c r="E116" i="6" s="1"/>
  <c r="D103" i="6"/>
  <c r="D104" i="6" s="1"/>
  <c r="E70" i="6"/>
  <c r="F86" i="5"/>
  <c r="H70" i="6" s="1"/>
  <c r="D40" i="6"/>
  <c r="E32" i="5"/>
  <c r="G40" i="6" s="1"/>
  <c r="G41" i="6" s="1"/>
  <c r="E75" i="6"/>
  <c r="E78" i="6" s="1"/>
  <c r="F95" i="5"/>
  <c r="H75" i="6" s="1"/>
  <c r="H78" i="6" s="1"/>
  <c r="D35" i="6"/>
  <c r="D36" i="6" s="1"/>
  <c r="E23" i="5"/>
  <c r="G35" i="6" s="1"/>
  <c r="F113" i="5"/>
  <c r="H85" i="6" s="1"/>
  <c r="E55" i="6"/>
  <c r="F59" i="5"/>
  <c r="H55" i="6" s="1"/>
  <c r="I26" i="6"/>
  <c r="I32" i="6"/>
  <c r="I25" i="6"/>
  <c r="I31" i="6"/>
  <c r="I24" i="6"/>
  <c r="I30" i="6"/>
  <c r="I98" i="6"/>
  <c r="I94" i="6" s="1"/>
  <c r="I20" i="6"/>
  <c r="I21" i="6" s="1"/>
  <c r="I28" i="6" l="1"/>
  <c r="I27" i="6"/>
  <c r="I29" i="6"/>
  <c r="F60" i="6"/>
  <c r="F35" i="6"/>
  <c r="F55" i="6"/>
  <c r="G88" i="6"/>
  <c r="G86" i="6"/>
  <c r="G87" i="6"/>
  <c r="K85" i="6"/>
  <c r="H53" i="6"/>
  <c r="H52" i="6"/>
  <c r="H51" i="6"/>
  <c r="G83" i="6"/>
  <c r="G82" i="6"/>
  <c r="G81" i="6"/>
  <c r="K80" i="6"/>
  <c r="G68" i="6"/>
  <c r="G66" i="6"/>
  <c r="G67" i="6"/>
  <c r="K65" i="6"/>
  <c r="H63" i="6"/>
  <c r="H62" i="6"/>
  <c r="H61" i="6"/>
  <c r="G53" i="6"/>
  <c r="G52" i="6"/>
  <c r="G51" i="6"/>
  <c r="K50" i="6"/>
  <c r="G58" i="6"/>
  <c r="G56" i="6"/>
  <c r="G57" i="6"/>
  <c r="K55" i="6"/>
  <c r="H47" i="6"/>
  <c r="H48" i="6"/>
  <c r="H46" i="6"/>
  <c r="H76" i="6"/>
  <c r="H77" i="6"/>
  <c r="H88" i="6"/>
  <c r="H86" i="6"/>
  <c r="H87" i="6"/>
  <c r="H72" i="6"/>
  <c r="H73" i="6"/>
  <c r="H71" i="6"/>
  <c r="H58" i="6"/>
  <c r="H57" i="6"/>
  <c r="H56" i="6"/>
  <c r="G76" i="6"/>
  <c r="G77" i="6"/>
  <c r="K75" i="6"/>
  <c r="G73" i="6"/>
  <c r="K73" i="6" s="1"/>
  <c r="G72" i="6"/>
  <c r="G71" i="6"/>
  <c r="K70" i="6"/>
  <c r="G48" i="6"/>
  <c r="G46" i="6"/>
  <c r="G47" i="6"/>
  <c r="K45" i="6"/>
  <c r="H81" i="6"/>
  <c r="H82" i="6"/>
  <c r="H83" i="6"/>
  <c r="G38" i="6"/>
  <c r="G36" i="6"/>
  <c r="G37" i="6"/>
  <c r="K35" i="6"/>
  <c r="G43" i="6"/>
  <c r="G42" i="6"/>
  <c r="K40" i="6"/>
  <c r="H43" i="6"/>
  <c r="H42" i="6"/>
  <c r="H37" i="6"/>
  <c r="H36" i="6"/>
  <c r="H38" i="6"/>
  <c r="G63" i="6"/>
  <c r="G62" i="6"/>
  <c r="G61" i="6"/>
  <c r="K60" i="6"/>
  <c r="H68" i="6"/>
  <c r="H66" i="6"/>
  <c r="H67" i="6"/>
  <c r="F45" i="6"/>
  <c r="F40" i="6"/>
  <c r="E77" i="6"/>
  <c r="E76" i="6"/>
  <c r="D88" i="6"/>
  <c r="D87" i="6"/>
  <c r="D86" i="6"/>
  <c r="E53" i="6"/>
  <c r="E52" i="6"/>
  <c r="E51" i="6"/>
  <c r="D83" i="6"/>
  <c r="D82" i="6"/>
  <c r="D81" i="6"/>
  <c r="D67" i="6"/>
  <c r="D66" i="6"/>
  <c r="D68" i="6"/>
  <c r="E57" i="6"/>
  <c r="E56" i="6"/>
  <c r="E58" i="6"/>
  <c r="D43" i="6"/>
  <c r="D42" i="6"/>
  <c r="D41" i="6"/>
  <c r="E63" i="6"/>
  <c r="E62" i="6"/>
  <c r="E61" i="6"/>
  <c r="D53" i="6"/>
  <c r="D52" i="6"/>
  <c r="D51" i="6"/>
  <c r="D58" i="6"/>
  <c r="D57" i="6"/>
  <c r="D56" i="6"/>
  <c r="E47" i="6"/>
  <c r="E48" i="6"/>
  <c r="E46" i="6"/>
  <c r="E88" i="6"/>
  <c r="E87" i="6"/>
  <c r="E86" i="6"/>
  <c r="E73" i="6"/>
  <c r="E72" i="6"/>
  <c r="E71" i="6"/>
  <c r="D76" i="6"/>
  <c r="D77" i="6"/>
  <c r="D71" i="6"/>
  <c r="D73" i="6"/>
  <c r="D72" i="6"/>
  <c r="D47" i="6"/>
  <c r="D46" i="6"/>
  <c r="D48" i="6"/>
  <c r="E82" i="6"/>
  <c r="E81" i="6"/>
  <c r="E83" i="6"/>
  <c r="F80" i="6"/>
  <c r="D38" i="6"/>
  <c r="D37" i="6"/>
  <c r="F75" i="6"/>
  <c r="E43" i="6"/>
  <c r="E42" i="6"/>
  <c r="E41" i="6"/>
  <c r="E38" i="6"/>
  <c r="E36" i="6"/>
  <c r="E37" i="6"/>
  <c r="D63" i="6"/>
  <c r="D61" i="6"/>
  <c r="D62" i="6"/>
  <c r="E68" i="6"/>
  <c r="E67" i="6"/>
  <c r="E66" i="6"/>
  <c r="F110" i="6"/>
  <c r="F109" i="6"/>
  <c r="F97" i="6"/>
  <c r="F107" i="6"/>
  <c r="F106" i="6"/>
  <c r="F50" i="6"/>
  <c r="F113" i="6"/>
  <c r="F112" i="6"/>
  <c r="F21" i="6"/>
  <c r="F6" i="6" s="1"/>
  <c r="F20" i="6"/>
  <c r="F128" i="6"/>
  <c r="F127" i="6"/>
  <c r="F125" i="6"/>
  <c r="F124" i="6"/>
  <c r="F70" i="6"/>
  <c r="F119" i="6"/>
  <c r="F118" i="6"/>
  <c r="F122" i="6"/>
  <c r="F121" i="6"/>
  <c r="F101" i="6"/>
  <c r="F100" i="6"/>
  <c r="F116" i="6"/>
  <c r="F115" i="6"/>
  <c r="F104" i="6"/>
  <c r="F103" i="6"/>
  <c r="F65" i="6"/>
  <c r="E6" i="6"/>
  <c r="I93" i="6"/>
  <c r="E94" i="6"/>
  <c r="K43" i="6" l="1"/>
  <c r="K62" i="6"/>
  <c r="F48" i="6"/>
  <c r="K41" i="6"/>
  <c r="K72" i="6"/>
  <c r="K47" i="6"/>
  <c r="K42" i="6"/>
  <c r="K61" i="6"/>
  <c r="K71" i="6"/>
  <c r="K56" i="6"/>
  <c r="F77" i="6"/>
  <c r="F83" i="6"/>
  <c r="K67" i="6"/>
  <c r="K68" i="6"/>
  <c r="H24" i="6"/>
  <c r="H30" i="6"/>
  <c r="K51" i="6"/>
  <c r="K66" i="6"/>
  <c r="K83" i="6"/>
  <c r="H31" i="6"/>
  <c r="H25" i="6"/>
  <c r="K78" i="6"/>
  <c r="K52" i="6"/>
  <c r="F51" i="6"/>
  <c r="K37" i="6"/>
  <c r="G25" i="6"/>
  <c r="G31" i="6"/>
  <c r="K46" i="6"/>
  <c r="K77" i="6"/>
  <c r="K53" i="6"/>
  <c r="K87" i="6"/>
  <c r="G24" i="6"/>
  <c r="K36" i="6"/>
  <c r="G30" i="6"/>
  <c r="K48" i="6"/>
  <c r="K76" i="6"/>
  <c r="K81" i="6"/>
  <c r="K86" i="6"/>
  <c r="K63" i="6"/>
  <c r="K58" i="6"/>
  <c r="H26" i="6"/>
  <c r="H32" i="6"/>
  <c r="F82" i="6"/>
  <c r="K38" i="6"/>
  <c r="G26" i="6"/>
  <c r="G32" i="6"/>
  <c r="K57" i="6"/>
  <c r="K82" i="6"/>
  <c r="K88" i="6"/>
  <c r="F78" i="6"/>
  <c r="F68" i="6"/>
  <c r="F76" i="6"/>
  <c r="F73" i="6"/>
  <c r="F52" i="6"/>
  <c r="F53" i="6"/>
  <c r="F46" i="6"/>
  <c r="F86" i="6"/>
  <c r="F87" i="6"/>
  <c r="F88" i="6"/>
  <c r="F81" i="6"/>
  <c r="F61" i="6"/>
  <c r="F62" i="6"/>
  <c r="F57" i="6"/>
  <c r="F47" i="6"/>
  <c r="F43" i="6"/>
  <c r="F36" i="6"/>
  <c r="F38" i="6"/>
  <c r="F37" i="6"/>
  <c r="E30" i="6"/>
  <c r="E24" i="6"/>
  <c r="E7" i="6" s="1"/>
  <c r="E10" i="6" s="1"/>
  <c r="E32" i="6"/>
  <c r="E26" i="6"/>
  <c r="E25" i="6"/>
  <c r="E31" i="6"/>
  <c r="D6" i="6"/>
  <c r="F66" i="6"/>
  <c r="F71" i="6"/>
  <c r="F58" i="6"/>
  <c r="F42" i="6"/>
  <c r="F56" i="6"/>
  <c r="F63" i="6"/>
  <c r="F41" i="6"/>
  <c r="F72" i="6"/>
  <c r="D93" i="6"/>
  <c r="F98" i="6"/>
  <c r="F67" i="6"/>
  <c r="D24" i="6"/>
  <c r="D7" i="6" s="1"/>
  <c r="D26" i="6"/>
  <c r="D32" i="6"/>
  <c r="D25" i="6"/>
  <c r="D31" i="6"/>
  <c r="D30" i="6"/>
  <c r="E93" i="6"/>
  <c r="D94" i="6"/>
  <c r="G28" i="6" l="1"/>
  <c r="E29" i="6"/>
  <c r="D28" i="6"/>
  <c r="D29" i="6"/>
  <c r="H27" i="6"/>
  <c r="G29" i="6"/>
  <c r="E8" i="6"/>
  <c r="E9" i="6" s="1"/>
  <c r="E27" i="6"/>
  <c r="D27" i="6"/>
  <c r="H28" i="6"/>
  <c r="E28" i="6"/>
  <c r="H29" i="6"/>
  <c r="G27" i="6"/>
  <c r="D10" i="6"/>
  <c r="K32" i="6"/>
  <c r="K26" i="6"/>
  <c r="K31" i="6"/>
  <c r="K30" i="6"/>
  <c r="K25" i="6"/>
  <c r="K24" i="6"/>
  <c r="F93" i="6"/>
  <c r="F24" i="6"/>
  <c r="F7" i="6" s="1"/>
  <c r="F10" i="6" s="1"/>
  <c r="F26" i="6"/>
  <c r="F25" i="6"/>
  <c r="D8" i="6"/>
  <c r="F30" i="6"/>
  <c r="F31" i="6"/>
  <c r="F94" i="6"/>
  <c r="F32" i="6"/>
  <c r="F28" i="6" l="1"/>
  <c r="K27" i="6"/>
  <c r="K28" i="6"/>
  <c r="F8" i="6"/>
  <c r="F11" i="6" s="1"/>
  <c r="F27" i="6"/>
  <c r="K29" i="6"/>
  <c r="F29" i="6"/>
  <c r="E11" i="6"/>
  <c r="D11" i="6"/>
  <c r="D9" i="6"/>
  <c r="F9" i="6" l="1"/>
</calcChain>
</file>

<file path=xl/sharedStrings.xml><?xml version="1.0" encoding="utf-8"?>
<sst xmlns="http://schemas.openxmlformats.org/spreadsheetml/2006/main" count="683" uniqueCount="187">
  <si>
    <t>Quel est l'objectif du fichier ?</t>
  </si>
  <si>
    <t>Dans quel cadre utiliser ce fichier ?</t>
  </si>
  <si>
    <t>Comment est construit ce fichier ?</t>
  </si>
  <si>
    <r>
      <t>Ce fichier est composé de 3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onglets :</t>
    </r>
  </si>
  <si>
    <r>
      <t>1/ l'</t>
    </r>
    <r>
      <rPr>
        <b/>
        <sz val="11"/>
        <color theme="5"/>
        <rFont val="Calibri"/>
        <family val="2"/>
        <scheme val="minor"/>
      </rPr>
      <t>onglet "Résultats"</t>
    </r>
    <r>
      <rPr>
        <sz val="11"/>
        <color theme="1"/>
        <rFont val="Calibri"/>
        <family val="2"/>
        <scheme val="minor"/>
      </rPr>
      <t xml:space="preserve"> ne doit pas être modifié par l'utilisateur de l'outil. Il chiffre les bénéfices de mortalité et de morbidité pour :</t>
    </r>
  </si>
  <si>
    <r>
      <t xml:space="preserve">i) une </t>
    </r>
    <r>
      <rPr>
        <b/>
        <sz val="11"/>
        <color theme="1"/>
        <rFont val="Calibri"/>
        <family val="2"/>
        <scheme val="minor"/>
      </rPr>
      <t xml:space="preserve">population constituée de deux sous-populations : </t>
    </r>
  </si>
  <si>
    <r>
      <t>*l</t>
    </r>
    <r>
      <rPr>
        <b/>
        <sz val="11"/>
        <rFont val="Calibri"/>
        <family val="2"/>
        <scheme val="minor"/>
      </rPr>
      <t>a première sous-population (sous-population A) est âgée de 20 à 39 ans et bénéficie de gains de santé minimisés</t>
    </r>
    <r>
      <rPr>
        <sz val="11"/>
        <rFont val="Calibri"/>
        <family val="2"/>
        <scheme val="minor"/>
      </rPr>
      <t xml:space="preserve"> (minimums des risques relatifs issus de la littérature scientifique) ;</t>
    </r>
  </si>
  <si>
    <r>
      <rPr>
        <b/>
        <sz val="11"/>
        <rFont val="Calibri"/>
        <family val="2"/>
        <scheme val="minor"/>
      </rPr>
      <t>*la seconde sous-population (sous-population B) est âgée de 40 à 74 ans et bénéficie de gains de santé maximisés</t>
    </r>
    <r>
      <rPr>
        <sz val="11"/>
        <rFont val="Calibri"/>
        <family val="2"/>
        <scheme val="minor"/>
      </rPr>
      <t xml:space="preserve"> (maximums des risques relatifs issus de la littérature scientifique).</t>
    </r>
  </si>
  <si>
    <t xml:space="preserve">Par défaut, la population totale est de 10 000 habitants répartis équitablement entre les deux sous-populations. </t>
  </si>
  <si>
    <r>
      <t xml:space="preserve">ii) une </t>
    </r>
    <r>
      <rPr>
        <b/>
        <sz val="11"/>
        <rFont val="Calibri"/>
        <family val="2"/>
        <scheme val="minor"/>
      </rPr>
      <t>diminution de l'inactivité physique de β %.</t>
    </r>
  </si>
  <si>
    <t>Par défaut, β = 10% pour les deux sous-populations.</t>
  </si>
  <si>
    <r>
      <t>2/ l'</t>
    </r>
    <r>
      <rPr>
        <b/>
        <sz val="11"/>
        <color theme="5"/>
        <rFont val="Calibri"/>
        <family val="2"/>
        <scheme val="minor"/>
      </rPr>
      <t>onglet "Paramètres et valeurs"</t>
    </r>
    <r>
      <rPr>
        <sz val="11"/>
        <color theme="1"/>
        <rFont val="Calibri"/>
        <family val="2"/>
        <scheme val="minor"/>
      </rPr>
      <t xml:space="preserve"> synthétise les paramètres et valeurs (taille des sous-populations, prévalences et variations de l’inactivité physique, taux de mortalité (générale et par pathologie), taux incidence des pathologies, coûts) utilisés dans la fiche de calcul des résultats. Dans cet onglet, </t>
    </r>
    <r>
      <rPr>
        <b/>
        <sz val="11"/>
        <color theme="1"/>
        <rFont val="Calibri"/>
        <family val="2"/>
        <scheme val="minor"/>
      </rPr>
      <t>l'utilisateur de l'outil peut, s'il le souhaite, modifier :</t>
    </r>
  </si>
  <si>
    <r>
      <t xml:space="preserve">i) </t>
    </r>
    <r>
      <rPr>
        <b/>
        <sz val="11"/>
        <rFont val="Calibri"/>
        <family val="2"/>
        <scheme val="minor"/>
      </rPr>
      <t xml:space="preserve">la taille de la population totale et sa répartition entre les deux sous-populations, </t>
    </r>
  </si>
  <si>
    <r>
      <t xml:space="preserve">ii) </t>
    </r>
    <r>
      <rPr>
        <b/>
        <sz val="11"/>
        <rFont val="Calibri"/>
        <family val="2"/>
        <scheme val="minor"/>
      </rPr>
      <t>l'évolution de l'inactivité physique dans sa population</t>
    </r>
    <r>
      <rPr>
        <sz val="11"/>
        <rFont val="Calibri"/>
        <family val="2"/>
        <scheme val="minor"/>
      </rPr>
      <t>, en considérant, s'il le souhaite, une évolution différente pour les deux sous-populations.</t>
    </r>
  </si>
  <si>
    <t xml:space="preserve">Pour ce faire, il modifie les cases de couleur jaune. </t>
  </si>
  <si>
    <r>
      <t>3/ l'</t>
    </r>
    <r>
      <rPr>
        <b/>
        <sz val="11"/>
        <color theme="5"/>
        <rFont val="Calibri"/>
        <family val="2"/>
        <scheme val="minor"/>
      </rPr>
      <t>onglet "Annexe"</t>
    </r>
    <r>
      <rPr>
        <sz val="11"/>
        <rFont val="Calibri"/>
        <family val="2"/>
        <scheme val="minor"/>
      </rPr>
      <t xml:space="preserve"> permet d'analyser la sensibilité des résultats à certains paramètres ayant servi à l'estimation des coûts de morbidité (par ex. valeur d'une année de vie, taux d'actualisation). Il doit aussi faciliter la mise à jour régulière des données d'entrée.</t>
    </r>
  </si>
  <si>
    <t>Dans les onglets suivants, les formules ont été bloquées pour éviter toute erreur de manipulation. Pour les faire apparaitre ou les modifier, le mot de passe est : 0000 (cf. Révision / Oter la protection de la feuille).</t>
  </si>
  <si>
    <t>Onglet à ne pas modifier par l'utilisateur de l'outil</t>
  </si>
  <si>
    <t>Principaux résultats</t>
  </si>
  <si>
    <t>Sous-population A</t>
  </si>
  <si>
    <t>Sous-population B</t>
  </si>
  <si>
    <t xml:space="preserve">Population totale </t>
  </si>
  <si>
    <t>somme des sous-populations A et B</t>
  </si>
  <si>
    <t>Gain de mortalité</t>
  </si>
  <si>
    <r>
      <t xml:space="preserve">Gain de morbidité borne basse </t>
    </r>
    <r>
      <rPr>
        <sz val="10"/>
        <color theme="1"/>
        <rFont val="Calibri"/>
        <family val="2"/>
        <scheme val="minor"/>
      </rPr>
      <t>(MCV et cancers)</t>
    </r>
  </si>
  <si>
    <r>
      <t xml:space="preserve">Gain de morbidité borne haute </t>
    </r>
    <r>
      <rPr>
        <sz val="10"/>
        <color theme="1"/>
        <rFont val="Calibri"/>
        <family val="2"/>
        <scheme val="minor"/>
      </rPr>
      <t>(toutes pathologies)</t>
    </r>
  </si>
  <si>
    <r>
      <t xml:space="preserve">Gain de morbidité </t>
    </r>
    <r>
      <rPr>
        <i/>
        <sz val="10"/>
        <rFont val="Calibri"/>
        <family val="2"/>
        <scheme val="minor"/>
      </rPr>
      <t>(autres pathologies)</t>
    </r>
  </si>
  <si>
    <t>Détails des résultats</t>
  </si>
  <si>
    <t>Population totale</t>
  </si>
  <si>
    <t>Sous-population A - analyse de sensibilité</t>
  </si>
  <si>
    <t>Sous-population B - analyse de sensibilité</t>
  </si>
  <si>
    <t>Scénario A"</t>
  </si>
  <si>
    <t>Scénario B"</t>
  </si>
  <si>
    <t>Population totale - analyse de sensibilité</t>
  </si>
  <si>
    <t>min inAP, min RR, et données sur pop générale et VDALY=57 500</t>
  </si>
  <si>
    <t>Mortalité</t>
  </si>
  <si>
    <t>Nombre de décès évités</t>
  </si>
  <si>
    <t>Bénéfice de mortalité</t>
  </si>
  <si>
    <t>Morbidité</t>
  </si>
  <si>
    <t>Bénéfice -Total borne inférieure (MCV et cancers) dont</t>
  </si>
  <si>
    <t>Coûts intangibles (MCV et cancers)</t>
  </si>
  <si>
    <t>Coûts médicaux (MCV et cancers)</t>
  </si>
  <si>
    <t>Bénéfices - Autres pathologies que MCV et cancers</t>
  </si>
  <si>
    <t>Coûts intangibles (autres pathologies)</t>
  </si>
  <si>
    <t>Coûts médicaux (autres pathologies)</t>
  </si>
  <si>
    <t>Bénéfice - Total borne supérieure (toutes pathologies)</t>
  </si>
  <si>
    <t>Coûts intangibles (toutes pathologies)</t>
  </si>
  <si>
    <t>Coûts médicaux (toutes pathologies)</t>
  </si>
  <si>
    <t>Résultats par pathologie :</t>
  </si>
  <si>
    <t>Pathologie coronarienne</t>
  </si>
  <si>
    <t>Nombre de cas évités</t>
  </si>
  <si>
    <t>Bénéfice de morbidité dont :</t>
  </si>
  <si>
    <t>coûts intangibles</t>
  </si>
  <si>
    <t>dépenses médicales</t>
  </si>
  <si>
    <t>AVC</t>
  </si>
  <si>
    <t>Cancer du sein</t>
  </si>
  <si>
    <t>Cancer du côlon</t>
  </si>
  <si>
    <t>Cancer de l'estomac</t>
  </si>
  <si>
    <t>Cancer de la vessie</t>
  </si>
  <si>
    <t>Cancer de l'œsophage</t>
  </si>
  <si>
    <t>Diabète</t>
  </si>
  <si>
    <t>BPCO</t>
  </si>
  <si>
    <t>Alzheimer</t>
  </si>
  <si>
    <t>Parkinson</t>
  </si>
  <si>
    <t xml:space="preserve">Cas spécifique d'une population particulièrement jeune ou âgée : </t>
  </si>
  <si>
    <t>Mortalité - approche par les années de vie perdues par pathologie</t>
  </si>
  <si>
    <t>Borne inf (MCV et cancers)</t>
  </si>
  <si>
    <t>Borne sup (toutes pathologies)</t>
  </si>
  <si>
    <t>dont :</t>
  </si>
  <si>
    <t>Parkison</t>
  </si>
  <si>
    <t>Onglet à modifier par l'utilisateur de l'outil pour personnaliser la population (répartition entre les deux sous-populations et évolution de l'inactivité physique par sous-population)</t>
  </si>
  <si>
    <t>en gris : ne sert que pour l'analyse de sensibilité pour le coût de morbidité</t>
  </si>
  <si>
    <t>en bleu : ne sert que pour l'approche par les années de vie perdues (cas d'une population particulièrement jeune ou âgée)</t>
  </si>
  <si>
    <t>Sous-population A - analyse de sensibilité pour la morbidité</t>
  </si>
  <si>
    <t>Sous-population B - analyse de sensibilité pour la morbidité</t>
  </si>
  <si>
    <t>Sources</t>
  </si>
  <si>
    <t>(euros 2018)</t>
  </si>
  <si>
    <t>Population et activité physique</t>
  </si>
  <si>
    <r>
      <t xml:space="preserve">Taille Population </t>
    </r>
    <r>
      <rPr>
        <sz val="11"/>
        <rFont val="Calibri"/>
        <family val="2"/>
        <scheme val="minor"/>
      </rPr>
      <t>(N)</t>
    </r>
  </si>
  <si>
    <t>Choix fictif</t>
  </si>
  <si>
    <t>Prévalence inactivité physique en t=0 (E0)</t>
  </si>
  <si>
    <t>à partir d'Esteban 2015</t>
  </si>
  <si>
    <r>
      <t xml:space="preserve">Taux de variation de l'inactivité physique </t>
    </r>
    <r>
      <rPr>
        <sz val="11"/>
        <rFont val="Calibri"/>
        <family val="2"/>
        <scheme val="minor"/>
      </rPr>
      <t>(</t>
    </r>
    <r>
      <rPr>
        <sz val="11"/>
        <rFont val="Calibri"/>
        <family val="2"/>
      </rPr>
      <t>β</t>
    </r>
    <r>
      <rPr>
        <sz val="11"/>
        <rFont val="Calibri"/>
        <family val="2"/>
        <scheme val="minor"/>
      </rPr>
      <t>)</t>
    </r>
  </si>
  <si>
    <t>Prévalence inactivité physique en t=1 (E1)</t>
  </si>
  <si>
    <t>Calcul</t>
  </si>
  <si>
    <t>Baisse du risque de mortalité associé à l'activité physique</t>
  </si>
  <si>
    <t>Arem et al (2015) (min) / Ekelund et al (2020) (max)</t>
  </si>
  <si>
    <t>Risque Relatif inactif/actif (RRi/a)</t>
  </si>
  <si>
    <r>
      <t xml:space="preserve">Fraction Attribuable dans la Population </t>
    </r>
    <r>
      <rPr>
        <sz val="11"/>
        <color theme="1"/>
        <rFont val="Calibri"/>
        <family val="2"/>
        <scheme val="minor"/>
      </rPr>
      <t>(FAP</t>
    </r>
    <r>
      <rPr>
        <sz val="8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</si>
  <si>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Taux de mortalité</t>
    </r>
    <r>
      <rPr>
        <sz val="11"/>
        <rFont val="Calibri"/>
        <family val="2"/>
        <scheme val="minor"/>
      </rPr>
      <t xml:space="preserve"> (TM)</t>
    </r>
  </si>
  <si>
    <t>INSEE (population 2020 et table de mortalité 2016-2018)</t>
  </si>
  <si>
    <r>
      <t xml:space="preserve">Valeur d'une vie statistique </t>
    </r>
    <r>
      <rPr>
        <sz val="11"/>
        <color theme="1"/>
        <rFont val="Calibri"/>
        <family val="2"/>
        <scheme val="minor"/>
      </rPr>
      <t>(VVS, €2018)</t>
    </r>
  </si>
  <si>
    <t>Quinet (2013)</t>
  </si>
  <si>
    <t>Baisse du risque associé à l'activité physique</t>
  </si>
  <si>
    <t>Anses (2016)</t>
  </si>
  <si>
    <r>
      <t xml:space="preserve">Risque Relatif inactif/actif  (RRi/a </t>
    </r>
    <r>
      <rPr>
        <sz val="8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</si>
  <si>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Fraction Attribuable dans la Population</t>
    </r>
    <r>
      <rPr>
        <sz val="11"/>
        <color theme="1"/>
        <rFont val="Calibri"/>
        <family val="2"/>
        <scheme val="minor"/>
      </rPr>
      <t>(FAPi)</t>
    </r>
  </si>
  <si>
    <r>
      <t xml:space="preserve">Taux d'incidence </t>
    </r>
    <r>
      <rPr>
        <sz val="11"/>
        <color theme="1"/>
        <rFont val="Calibri"/>
        <family val="2"/>
        <scheme val="minor"/>
      </rPr>
      <t>(Ii)</t>
    </r>
  </si>
  <si>
    <t>GBD 2018</t>
  </si>
  <si>
    <t xml:space="preserve"> Dépenses de soins par cas </t>
  </si>
  <si>
    <t>Voir onglet "Annexe"</t>
  </si>
  <si>
    <t>Coûts intangibles de morbidité par cas</t>
  </si>
  <si>
    <r>
      <t xml:space="preserve">Taux de mortalité </t>
    </r>
    <r>
      <rPr>
        <sz val="11"/>
        <color theme="4"/>
        <rFont val="Calibri"/>
        <family val="2"/>
        <scheme val="minor"/>
      </rPr>
      <t>(TMi)</t>
    </r>
  </si>
  <si>
    <t>Coûts intangibles de mortalité par cas</t>
  </si>
  <si>
    <t>AVC ischémique</t>
  </si>
  <si>
    <r>
      <t xml:space="preserve">Lee </t>
    </r>
    <r>
      <rPr>
        <i/>
        <sz val="10"/>
        <color rgb="FF000000"/>
        <rFont val="Calibri"/>
        <family val="2"/>
        <scheme val="minor"/>
      </rPr>
      <t xml:space="preserve">et al. </t>
    </r>
    <r>
      <rPr>
        <sz val="10"/>
        <color rgb="FF000000"/>
        <rFont val="Calibri"/>
        <family val="2"/>
        <scheme val="minor"/>
      </rPr>
      <t>(2003) et Wendel-Vos</t>
    </r>
    <r>
      <rPr>
        <i/>
        <sz val="10"/>
        <color rgb="FF000000"/>
        <rFont val="Calibri"/>
        <family val="2"/>
        <scheme val="minor"/>
      </rPr>
      <t xml:space="preserve"> et al</t>
    </r>
    <r>
      <rPr>
        <sz val="10"/>
        <color rgb="FF000000"/>
        <rFont val="Calibri"/>
        <family val="2"/>
        <scheme val="minor"/>
      </rPr>
      <t>. (2004) cités dans Inserm (2008) (min) / Williams (2009) (max)</t>
    </r>
  </si>
  <si>
    <t xml:space="preserve"> Dépenses de soins par cas</t>
  </si>
  <si>
    <r>
      <t xml:space="preserve">Friedenrich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 xml:space="preserve">. (2020) </t>
    </r>
  </si>
  <si>
    <t>Voir onlet "Annexe"</t>
  </si>
  <si>
    <r>
      <t>PAGA Committe (2018) (min) / Laaksonen</t>
    </r>
    <r>
      <rPr>
        <i/>
        <sz val="10"/>
        <color theme="1"/>
        <rFont val="Calibri"/>
        <family val="2"/>
        <scheme val="minor"/>
      </rPr>
      <t xml:space="preserve"> et al</t>
    </r>
    <r>
      <rPr>
        <sz val="10"/>
        <color theme="1"/>
        <rFont val="Calibri"/>
        <family val="2"/>
        <scheme val="minor"/>
      </rPr>
      <t>. (2005) cité dans Inserm (2008) (max)</t>
    </r>
  </si>
  <si>
    <r>
      <t xml:space="preserve">Garcia-Aymerich </t>
    </r>
    <r>
      <rPr>
        <i/>
        <sz val="10"/>
        <color rgb="FF000000"/>
        <rFont val="Calibri"/>
        <family val="2"/>
        <scheme val="minor"/>
      </rPr>
      <t>et al. (</t>
    </r>
    <r>
      <rPr>
        <sz val="10"/>
        <color rgb="FF000000"/>
        <rFont val="Calibri"/>
        <family val="2"/>
        <scheme val="minor"/>
      </rPr>
      <t>2007)</t>
    </r>
  </si>
  <si>
    <r>
      <t xml:space="preserve">Hamer and Chida (2009) (min) / Karceski </t>
    </r>
    <r>
      <rPr>
        <i/>
        <sz val="10"/>
        <color rgb="FF000000"/>
        <rFont val="Calibri"/>
        <family val="2"/>
        <scheme val="minor"/>
      </rPr>
      <t>et al (</t>
    </r>
    <r>
      <rPr>
        <sz val="10"/>
        <color rgb="FF000000"/>
        <rFont val="Calibri"/>
        <family val="2"/>
        <scheme val="minor"/>
      </rPr>
      <t>2012) (max)</t>
    </r>
  </si>
  <si>
    <r>
      <t xml:space="preserve">Hamer and Chida (2009) (min) / Chen </t>
    </r>
    <r>
      <rPr>
        <i/>
        <sz val="10"/>
        <color rgb="FF000000"/>
        <rFont val="Calibri"/>
        <family val="2"/>
        <scheme val="minor"/>
      </rPr>
      <t xml:space="preserve">et al </t>
    </r>
    <r>
      <rPr>
        <sz val="10"/>
        <color rgb="FF000000"/>
        <rFont val="Calibri"/>
        <family val="2"/>
        <scheme val="minor"/>
      </rPr>
      <t xml:space="preserve"> (2005) (max)</t>
    </r>
  </si>
  <si>
    <t>Onglet à modifier par l'utilisateur de l'outil uniquement pour une nouvelle analyse de sensibilité ou une mise à jour des données</t>
  </si>
  <si>
    <t>Autres paramètres</t>
  </si>
  <si>
    <t xml:space="preserve">Montant </t>
  </si>
  <si>
    <t>Source</t>
  </si>
  <si>
    <t>Valeurs d'une Vie Statistique (VVS) (euros 2018)</t>
  </si>
  <si>
    <t>Valeur d'une Année de Vie  (VAV) (euros 2018)</t>
  </si>
  <si>
    <t>Taux d'actualisation</t>
  </si>
  <si>
    <t>Coûts intangibles (euros 2018)</t>
  </si>
  <si>
    <t>Coûts médicaux (euros 2018)</t>
  </si>
  <si>
    <t>Effet sur la santé</t>
  </si>
  <si>
    <r>
      <t xml:space="preserve">Disability Weight </t>
    </r>
    <r>
      <rPr>
        <sz val="10"/>
        <color theme="0" tint="-0.249977111117893"/>
        <rFont val="Calibri"/>
        <family val="2"/>
        <scheme val="minor"/>
      </rPr>
      <t>(différent selon l'âge de la sous-population)</t>
    </r>
  </si>
  <si>
    <r>
      <t xml:space="preserve">Durée </t>
    </r>
    <r>
      <rPr>
        <sz val="10"/>
        <color theme="0" tint="-0.249977111117893"/>
        <rFont val="Calibri"/>
        <family val="2"/>
        <scheme val="minor"/>
      </rPr>
      <t>(identique pour les deux sous-population d'âges différents)</t>
    </r>
  </si>
  <si>
    <t>Durée actualisée</t>
  </si>
  <si>
    <t>Décès</t>
  </si>
  <si>
    <r>
      <t xml:space="preserve">Années de vie perdues par mortalité </t>
    </r>
    <r>
      <rPr>
        <sz val="10"/>
        <color theme="0" tint="-0.249977111117893"/>
        <rFont val="Calibri"/>
        <family val="2"/>
        <scheme val="minor"/>
      </rPr>
      <t>(différent selon l'âge de la sous-population)</t>
    </r>
  </si>
  <si>
    <t xml:space="preserve">Années de vie perdues par mortalité actualisées </t>
  </si>
  <si>
    <r>
      <t xml:space="preserve">Coût intangible de morbidité </t>
    </r>
    <r>
      <rPr>
        <sz val="10"/>
        <color theme="1"/>
        <rFont val="Calibri"/>
        <family val="2"/>
        <scheme val="minor"/>
      </rPr>
      <t>(avec VAV)</t>
    </r>
  </si>
  <si>
    <t>Coût intangible de morbidité - analyse de sensibilité (avec VAV/2)</t>
  </si>
  <si>
    <t>Coût intangible de mortalité (approche par les décès)</t>
  </si>
  <si>
    <t>Coût intangible de mortalité (approche par les annéees de vie perdues si population particulièrement jeune ou âgée)</t>
  </si>
  <si>
    <t>Coût annuel moyen des cas prévalents</t>
  </si>
  <si>
    <t>Dépenses de santé</t>
  </si>
  <si>
    <t>Sous-population A âgée de 20 à 39 ans</t>
  </si>
  <si>
    <t>GBD 2018 (Ischemic Heart Diseases)</t>
  </si>
  <si>
    <t>Calcul (*)</t>
  </si>
  <si>
    <t>Calcul (**)</t>
  </si>
  <si>
    <t>Calcul (DW*durée*VAV)</t>
  </si>
  <si>
    <t>Calcul (DW*durée*VAV/2)</t>
  </si>
  <si>
    <t>Calcul (années de vies perdues par mortalité actualisées * VAV)</t>
  </si>
  <si>
    <t>Cartographie AM 2018 (syndrome coronaire aigu, maladie coronaire chronique,  insuffisance cardiaque aigue,  insuffisance cardiaque chronique)</t>
  </si>
  <si>
    <t>Calcul (coût annuel moyen des cas prévalents * durée actualisée)</t>
  </si>
  <si>
    <t>GDB (2018) (Ischemic stroke)</t>
  </si>
  <si>
    <t>Cartographie AM 2018 (AVC aigu, séquelle d'AVC)</t>
  </si>
  <si>
    <t>GBD 2018 (Breast cancer)</t>
  </si>
  <si>
    <t>Cartographie AM 2018 (Cancer du sein de la femme, actif et sous surveillance)</t>
  </si>
  <si>
    <t>GBD 2018 (Colon and rectum cancer)</t>
  </si>
  <si>
    <t>Cartographie AM 2018 (Cancer colorectal, actif et sous surveillance)</t>
  </si>
  <si>
    <t>GBD 2018 (Stomach cancer)</t>
  </si>
  <si>
    <t>Cartographie AM 2018 (Autres cancers, actifs et sous surveillance)</t>
  </si>
  <si>
    <t>GBD 2018 (Bladder cancer)</t>
  </si>
  <si>
    <t>GBD 2018 (Esophageal cancer)</t>
  </si>
  <si>
    <t>GBD 2018 (Diabetes mellitus type 2)</t>
  </si>
  <si>
    <t>Cartographie AM 2018 (Diabète)</t>
  </si>
  <si>
    <t>GBD 2017 (Chronic obstructive pulmonary disease)</t>
  </si>
  <si>
    <t>Cartographie AM 2018 (Maladies respiratoires chroniques hors mucoviscidose)</t>
  </si>
  <si>
    <t>GBD 2018 (Alzheimer's disease and other dementias)</t>
  </si>
  <si>
    <t>Cartographie AM 2018 (Démences dont maladie d'Alzheimer)</t>
  </si>
  <si>
    <t>GBD 2018 (Parkinson's disease)</t>
  </si>
  <si>
    <t>Cartographie AM 2018 (Maladie de Parkinson)</t>
  </si>
  <si>
    <t>Sous-population B âgée de 40 à 74 ans</t>
  </si>
  <si>
    <t>GBD 2018 (Chronic obstructive pulmonary disease)</t>
  </si>
  <si>
    <r>
      <t xml:space="preserve">Les données des études GBD peuvent être extraites à cette adresse : </t>
    </r>
    <r>
      <rPr>
        <sz val="11"/>
        <rFont val="Calibri"/>
        <family val="2"/>
        <scheme val="minor"/>
      </rPr>
      <t>http://ghdx.healthdata.org/gbd-results-tool</t>
    </r>
  </si>
  <si>
    <t>Les cartographiques de l'Assurance maladie sont téléchargeables à cette adresse : https://www.ameli.fr/l-assurance-maladie/statistiques-et-publications/etudes-en-sante-publique/cartographie-des-pathologies-et-des-depenses/depenses-remboursees-affectees-a-chaque-pathologie.php</t>
  </si>
  <si>
    <t>(*) actualisation de la durée de la maladie : [1-exp (-r*m)]/r  avec m la durée moyenne de la maladie et r le taux d'actualisation</t>
  </si>
  <si>
    <t>(**) actualisation des années de vie perdues par mortalité : [1-exp (-r*ω)]/r  avec ω le nombre moyen d'années de vie perdues par mortalité et r le taux d'actualisation</t>
  </si>
  <si>
    <t>Cases jaunes : A modifier le cas échéant par l'utilisateur de l'outil</t>
  </si>
  <si>
    <r>
      <t xml:space="preserve">Gain de santé total </t>
    </r>
    <r>
      <rPr>
        <sz val="11"/>
        <rFont val="Calibri"/>
        <family val="2"/>
        <scheme val="minor"/>
      </rPr>
      <t>(mortalité + moribidité borne haute)</t>
    </r>
  </si>
  <si>
    <t>20-39 ans</t>
  </si>
  <si>
    <t>40-74 ans</t>
  </si>
  <si>
    <t xml:space="preserve">20-39 ans </t>
  </si>
  <si>
    <t>20-39 ans mais VAV/2</t>
  </si>
  <si>
    <t>40-74 ans mais VAV/2</t>
  </si>
  <si>
    <t>20-39 ans et minimum des risques relatifs</t>
  </si>
  <si>
    <t xml:space="preserve"> 40-74 ans et maximum des risques relatifs</t>
  </si>
  <si>
    <t>20-39 ans et minimums des risques relatifs mais VAV/2</t>
  </si>
  <si>
    <t>40-74 ans et maximums des risques relatifs mais VAV/2</t>
  </si>
  <si>
    <t>Permettre une évaluation socio-économique simplifiée des bénéfices de santé de scénarios de diminution de l'inactivité physique.</t>
  </si>
  <si>
    <t>(pour rappel, taille de la population)</t>
  </si>
  <si>
    <r>
      <t xml:space="preserve">Sources </t>
    </r>
    <r>
      <rPr>
        <sz val="11"/>
        <color rgb="FFC00000"/>
        <rFont val="Calibri"/>
        <family val="2"/>
        <scheme val="minor"/>
      </rPr>
      <t>(pour rappel, l'utilisation de ce fichier dans le temps demande une actualisation régulière des données).</t>
    </r>
  </si>
  <si>
    <r>
      <t xml:space="preserve">/!\ Sachant que les données d'entrée (notamment celles de morbidité, cf. onglet "Annexe") évolutent très rapidement, </t>
    </r>
    <r>
      <rPr>
        <b/>
        <sz val="11"/>
        <color rgb="FFC00000"/>
        <rFont val="Calibri"/>
        <family val="2"/>
        <scheme val="minor"/>
      </rPr>
      <t>l'utilisation de ce fichier dans le temps demande une actualisation régulière des données</t>
    </r>
    <r>
      <rPr>
        <sz val="11"/>
        <color rgb="FFC00000"/>
        <rFont val="Calibri"/>
        <family val="2"/>
        <scheme val="minor"/>
      </rPr>
      <t>.</t>
    </r>
  </si>
  <si>
    <t>Pour rappel, l'utilisation de ce fichier dans le temps demande une actualisation régulière des données.</t>
  </si>
  <si>
    <r>
      <t xml:space="preserve">Gain de santé total </t>
    </r>
    <r>
      <rPr>
        <sz val="11"/>
        <rFont val="Calibri"/>
        <family val="2"/>
        <scheme val="minor"/>
      </rPr>
      <t>(mortalité + moribidité borne basse)</t>
    </r>
  </si>
  <si>
    <t xml:space="preserve">https://www.strategie.gouv.fr/publications/levaluation-socioeconomique-effets-de-sante-projets-dinvestissement-public </t>
  </si>
  <si>
    <r>
      <t xml:space="preserve">Ce fichier permet d'évaluer les </t>
    </r>
    <r>
      <rPr>
        <b/>
        <sz val="11"/>
        <rFont val="Calibri"/>
        <family val="2"/>
        <scheme val="minor"/>
      </rPr>
      <t>bénéfices de mortalité et morbidité (supposés ici immédiats) associés à une augmentation, dans la population, de la part d'adultes (sans maladies chroniques pré-existantes) devenant actifs (au sens des recommandations de l'OMS) et le restant jusqu'au décès.</t>
    </r>
    <r>
      <rPr>
        <sz val="11"/>
        <rFont val="Calibri"/>
        <family val="2"/>
        <scheme val="minor"/>
      </rPr>
      <t xml:space="preserve"> (L'amélioration de l'activité physique n'est pas attribuée à une politique ou un investissement donné ici).
</t>
    </r>
    <r>
      <rPr>
        <b/>
        <sz val="11"/>
        <color theme="8"/>
        <rFont val="Calibri"/>
        <family val="2"/>
        <scheme val="minor"/>
      </rPr>
      <t>Pour plus de détails, vous pouvez consulter le rapport sur: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</si>
</sst>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0.000"/>
    <numFmt numFmtId="165" formatCode="#,##0\ &quot;€&quot;"/>
    <numFmt numFmtId="166" formatCode="#,##0.000"/>
    <numFmt numFmtId="167" formatCode="0.00000000"/>
    <numFmt numFmtId="168" formatCode="_-* #,##0\ &quot;€&quot;_-;\-* #,##0\ &quot;€&quot;_-;_-* &quot;-&quot;??\ &quot;€&quot;_-;_-@_-"/>
    <numFmt numFmtId="169" formatCode="0.0%"/>
    <numFmt numFmtId="170" formatCode="#,##0.00\ &quot;€&quot;"/>
    <numFmt numFmtId="171" formatCode="_-* #,##0.00\ [$€-40C]_-;\-* #,##0.00\ [$€-40C]_-;_-* &quot;-&quot;??\ [$€-40C]_-;_-@_-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sz val="7.5"/>
      <color rgb="FF000099"/>
      <name val="Tahoma"/>
      <family val="2"/>
    </font>
    <font>
      <sz val="10"/>
      <color theme="0" tint="-0.249977111117893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355">
    <xf numFmtId="0" fontId="0" fillId="0" borderId="0" xfId="0"/>
    <xf numFmtId="0" fontId="0" fillId="0" borderId="0" xfId="0" applyFill="1"/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Border="1"/>
    <xf numFmtId="0" fontId="5" fillId="0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1" fillId="4" borderId="0" xfId="0" applyFont="1" applyFill="1" applyAlignment="1"/>
    <xf numFmtId="0" fontId="18" fillId="5" borderId="0" xfId="0" applyFont="1" applyFill="1" applyAlignment="1">
      <alignment horizontal="center"/>
    </xf>
    <xf numFmtId="0" fontId="18" fillId="5" borderId="0" xfId="0" applyFont="1" applyFill="1" applyBorder="1" applyAlignment="1">
      <alignment horizontal="center"/>
    </xf>
    <xf numFmtId="165" fontId="0" fillId="0" borderId="0" xfId="0" applyNumberFormat="1"/>
    <xf numFmtId="0" fontId="20" fillId="0" borderId="0" xfId="0" applyFont="1" applyAlignment="1">
      <alignment horizontal="right"/>
    </xf>
    <xf numFmtId="165" fontId="21" fillId="0" borderId="0" xfId="0" applyNumberFormat="1" applyFont="1" applyAlignment="1">
      <alignment horizontal="center"/>
    </xf>
    <xf numFmtId="0" fontId="21" fillId="0" borderId="0" xfId="0" applyFont="1"/>
    <xf numFmtId="165" fontId="21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165" fontId="1" fillId="8" borderId="8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5" fontId="1" fillId="0" borderId="34" xfId="0" applyNumberFormat="1" applyFont="1" applyFill="1" applyBorder="1" applyAlignment="1">
      <alignment horizontal="center"/>
    </xf>
    <xf numFmtId="165" fontId="1" fillId="0" borderId="35" xfId="0" applyNumberFormat="1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1" fillId="8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165" fontId="1" fillId="0" borderId="49" xfId="0" applyNumberFormat="1" applyFont="1" applyFill="1" applyBorder="1" applyAlignment="1">
      <alignment horizontal="center"/>
    </xf>
    <xf numFmtId="0" fontId="32" fillId="13" borderId="7" xfId="0" applyFont="1" applyFill="1" applyBorder="1" applyAlignment="1">
      <alignment horizontal="left"/>
    </xf>
    <xf numFmtId="165" fontId="2" fillId="12" borderId="2" xfId="0" applyNumberFormat="1" applyFont="1" applyFill="1" applyBorder="1" applyAlignment="1">
      <alignment horizontal="center" vertical="center"/>
    </xf>
    <xf numFmtId="165" fontId="2" fillId="0" borderId="49" xfId="0" applyNumberFormat="1" applyFont="1" applyFill="1" applyBorder="1" applyAlignment="1">
      <alignment horizontal="center"/>
    </xf>
    <xf numFmtId="165" fontId="34" fillId="14" borderId="2" xfId="0" applyNumberFormat="1" applyFont="1" applyFill="1" applyBorder="1" applyAlignment="1">
      <alignment horizontal="center"/>
    </xf>
    <xf numFmtId="0" fontId="35" fillId="0" borderId="4" xfId="0" applyFont="1" applyBorder="1" applyAlignment="1">
      <alignment horizontal="right"/>
    </xf>
    <xf numFmtId="0" fontId="36" fillId="0" borderId="7" xfId="0" applyFont="1" applyBorder="1" applyAlignment="1">
      <alignment horizontal="right"/>
    </xf>
    <xf numFmtId="0" fontId="36" fillId="0" borderId="9" xfId="0" applyFont="1" applyBorder="1" applyAlignment="1">
      <alignment horizontal="right"/>
    </xf>
    <xf numFmtId="0" fontId="0" fillId="0" borderId="4" xfId="0" applyFill="1" applyBorder="1" applyAlignment="1">
      <alignment horizontal="right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25" fillId="0" borderId="5" xfId="0" applyNumberFormat="1" applyFont="1" applyFill="1" applyBorder="1" applyAlignment="1">
      <alignment horizontal="center"/>
    </xf>
    <xf numFmtId="165" fontId="25" fillId="0" borderId="6" xfId="0" applyNumberFormat="1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165" fontId="25" fillId="0" borderId="8" xfId="0" applyNumberFormat="1" applyFont="1" applyFill="1" applyBorder="1" applyAlignment="1">
      <alignment horizontal="center"/>
    </xf>
    <xf numFmtId="165" fontId="25" fillId="0" borderId="10" xfId="0" applyNumberFormat="1" applyFont="1" applyFill="1" applyBorder="1" applyAlignment="1">
      <alignment horizontal="center"/>
    </xf>
    <xf numFmtId="165" fontId="25" fillId="0" borderId="11" xfId="0" applyNumberFormat="1" applyFont="1" applyFill="1" applyBorder="1" applyAlignment="1">
      <alignment horizontal="center"/>
    </xf>
    <xf numFmtId="165" fontId="21" fillId="15" borderId="0" xfId="0" applyNumberFormat="1" applyFont="1" applyFill="1" applyBorder="1" applyAlignment="1">
      <alignment horizontal="center"/>
    </xf>
    <xf numFmtId="165" fontId="5" fillId="15" borderId="8" xfId="0" applyNumberFormat="1" applyFont="1" applyFill="1" applyBorder="1" applyAlignment="1">
      <alignment horizontal="center"/>
    </xf>
    <xf numFmtId="0" fontId="20" fillId="10" borderId="7" xfId="0" applyFont="1" applyFill="1" applyBorder="1" applyAlignment="1">
      <alignment horizontal="right"/>
    </xf>
    <xf numFmtId="165" fontId="21" fillId="10" borderId="0" xfId="0" applyNumberFormat="1" applyFont="1" applyFill="1" applyBorder="1" applyAlignment="1">
      <alignment horizontal="center"/>
    </xf>
    <xf numFmtId="165" fontId="5" fillId="10" borderId="8" xfId="0" applyNumberFormat="1" applyFont="1" applyFill="1" applyBorder="1" applyAlignment="1">
      <alignment horizontal="center"/>
    </xf>
    <xf numFmtId="165" fontId="20" fillId="15" borderId="7" xfId="0" applyNumberFormat="1" applyFont="1" applyFill="1" applyBorder="1" applyAlignment="1">
      <alignment horizontal="right"/>
    </xf>
    <xf numFmtId="0" fontId="20" fillId="16" borderId="9" xfId="0" applyFont="1" applyFill="1" applyBorder="1" applyAlignment="1">
      <alignment horizontal="right"/>
    </xf>
    <xf numFmtId="165" fontId="21" fillId="16" borderId="10" xfId="0" applyNumberFormat="1" applyFont="1" applyFill="1" applyBorder="1" applyAlignment="1">
      <alignment horizontal="center"/>
    </xf>
    <xf numFmtId="165" fontId="5" fillId="16" borderId="11" xfId="0" applyNumberFormat="1" applyFont="1" applyFill="1" applyBorder="1" applyAlignment="1">
      <alignment horizontal="center"/>
    </xf>
    <xf numFmtId="0" fontId="20" fillId="9" borderId="9" xfId="0" applyFont="1" applyFill="1" applyBorder="1" applyAlignment="1">
      <alignment horizontal="right"/>
    </xf>
    <xf numFmtId="165" fontId="21" fillId="9" borderId="10" xfId="0" applyNumberFormat="1" applyFont="1" applyFill="1" applyBorder="1" applyAlignment="1">
      <alignment horizontal="center"/>
    </xf>
    <xf numFmtId="165" fontId="5" fillId="9" borderId="11" xfId="0" applyNumberFormat="1" applyFont="1" applyFill="1" applyBorder="1" applyAlignment="1">
      <alignment horizontal="center"/>
    </xf>
    <xf numFmtId="0" fontId="37" fillId="0" borderId="0" xfId="0" applyFont="1"/>
    <xf numFmtId="0" fontId="25" fillId="0" borderId="0" xfId="0" applyFont="1"/>
    <xf numFmtId="0" fontId="27" fillId="0" borderId="0" xfId="0" applyFont="1" applyFill="1" applyBorder="1" applyAlignment="1"/>
    <xf numFmtId="0" fontId="27" fillId="6" borderId="0" xfId="0" applyFont="1" applyFill="1" applyAlignment="1"/>
    <xf numFmtId="0" fontId="25" fillId="0" borderId="0" xfId="0" applyFont="1" applyAlignment="1">
      <alignment horizontal="right"/>
    </xf>
    <xf numFmtId="165" fontId="25" fillId="0" borderId="0" xfId="0" applyNumberFormat="1" applyFont="1" applyAlignment="1">
      <alignment horizontal="center"/>
    </xf>
    <xf numFmtId="0" fontId="25" fillId="0" borderId="0" xfId="0" applyFont="1" applyFill="1" applyAlignment="1">
      <alignment horizontal="right"/>
    </xf>
    <xf numFmtId="165" fontId="25" fillId="0" borderId="0" xfId="0" applyNumberFormat="1" applyFont="1" applyFill="1" applyAlignment="1">
      <alignment horizontal="center"/>
    </xf>
    <xf numFmtId="0" fontId="25" fillId="0" borderId="0" xfId="0" applyFont="1" applyFill="1" applyBorder="1"/>
    <xf numFmtId="0" fontId="27" fillId="4" borderId="0" xfId="0" applyFont="1" applyFill="1" applyAlignment="1"/>
    <xf numFmtId="2" fontId="25" fillId="0" borderId="0" xfId="0" applyNumberFormat="1" applyFont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2" fillId="0" borderId="4" xfId="0" applyFont="1" applyBorder="1" applyProtection="1"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49" fontId="7" fillId="0" borderId="9" xfId="0" applyNumberFormat="1" applyFont="1" applyFill="1" applyBorder="1" applyAlignment="1" applyProtection="1">
      <alignment horizontal="left" vertical="center"/>
      <protection locked="0"/>
    </xf>
    <xf numFmtId="169" fontId="6" fillId="0" borderId="10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41" fillId="0" borderId="0" xfId="0" applyFont="1" applyFill="1" applyBorder="1" applyAlignment="1" applyProtection="1">
      <protection locked="0"/>
    </xf>
    <xf numFmtId="49" fontId="23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22" fillId="0" borderId="45" xfId="0" applyFont="1" applyFill="1" applyBorder="1" applyAlignment="1" applyProtection="1">
      <alignment horizontal="center" vertical="center" wrapText="1"/>
      <protection locked="0"/>
    </xf>
    <xf numFmtId="0" fontId="19" fillId="0" borderId="44" xfId="0" applyFont="1" applyFill="1" applyBorder="1" applyAlignment="1" applyProtection="1">
      <alignment horizontal="center" vertical="center" wrapText="1"/>
      <protection locked="0"/>
    </xf>
    <xf numFmtId="0" fontId="22" fillId="0" borderId="43" xfId="0" applyFont="1" applyFill="1" applyBorder="1" applyAlignment="1" applyProtection="1">
      <alignment horizontal="center" vertical="center" wrapText="1"/>
      <protection locked="0"/>
    </xf>
    <xf numFmtId="0" fontId="26" fillId="0" borderId="44" xfId="0" applyFont="1" applyFill="1" applyBorder="1" applyAlignment="1" applyProtection="1">
      <alignment horizontal="center" vertical="center" wrapText="1"/>
      <protection locked="0"/>
    </xf>
    <xf numFmtId="0" fontId="23" fillId="0" borderId="44" xfId="0" applyFont="1" applyFill="1" applyBorder="1" applyAlignment="1" applyProtection="1">
      <alignment horizontal="center" vertical="center" wrapText="1"/>
      <protection locked="0"/>
    </xf>
    <xf numFmtId="49" fontId="23" fillId="6" borderId="16" xfId="0" applyNumberFormat="1" applyFont="1" applyFill="1" applyBorder="1" applyAlignment="1" applyProtection="1">
      <alignment horizontal="left"/>
      <protection locked="0"/>
    </xf>
    <xf numFmtId="2" fontId="6" fillId="6" borderId="12" xfId="0" applyNumberFormat="1" applyFont="1" applyFill="1" applyBorder="1" applyAlignment="1" applyProtection="1">
      <alignment horizontal="center"/>
      <protection locked="0"/>
    </xf>
    <xf numFmtId="165" fontId="7" fillId="6" borderId="12" xfId="0" applyNumberFormat="1" applyFont="1" applyFill="1" applyBorder="1" applyAlignment="1" applyProtection="1">
      <alignment horizontal="center"/>
      <protection locked="0"/>
    </xf>
    <xf numFmtId="165" fontId="23" fillId="6" borderId="17" xfId="0" applyNumberFormat="1" applyFont="1" applyFill="1" applyBorder="1" applyAlignment="1" applyProtection="1">
      <alignment horizontal="center"/>
      <protection locked="0"/>
    </xf>
    <xf numFmtId="49" fontId="23" fillId="0" borderId="16" xfId="0" applyNumberFormat="1" applyFont="1" applyFill="1" applyBorder="1" applyAlignment="1" applyProtection="1">
      <alignment horizontal="left"/>
      <protection locked="0"/>
    </xf>
    <xf numFmtId="2" fontId="6" fillId="0" borderId="12" xfId="0" applyNumberFormat="1" applyFont="1" applyFill="1" applyBorder="1" applyAlignment="1" applyProtection="1">
      <alignment horizontal="center"/>
      <protection locked="0"/>
    </xf>
    <xf numFmtId="168" fontId="23" fillId="0" borderId="18" xfId="1" applyNumberFormat="1" applyFont="1" applyFill="1" applyBorder="1" applyAlignment="1" applyProtection="1">
      <alignment horizontal="center"/>
      <protection locked="0"/>
    </xf>
    <xf numFmtId="165" fontId="7" fillId="0" borderId="12" xfId="0" applyNumberFormat="1" applyFont="1" applyFill="1" applyBorder="1" applyAlignment="1" applyProtection="1">
      <alignment horizontal="center"/>
      <protection locked="0"/>
    </xf>
    <xf numFmtId="165" fontId="23" fillId="0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9" fontId="23" fillId="6" borderId="16" xfId="0" applyNumberFormat="1" applyFont="1" applyFill="1" applyBorder="1" applyAlignment="1" applyProtection="1">
      <protection locked="0"/>
    </xf>
    <xf numFmtId="49" fontId="23" fillId="6" borderId="19" xfId="0" applyNumberFormat="1" applyFont="1" applyFill="1" applyBorder="1" applyAlignment="1" applyProtection="1">
      <protection locked="0"/>
    </xf>
    <xf numFmtId="49" fontId="39" fillId="6" borderId="19" xfId="0" applyNumberFormat="1" applyFont="1" applyFill="1" applyBorder="1" applyAlignment="1" applyProtection="1">
      <protection locked="0"/>
    </xf>
    <xf numFmtId="49" fontId="23" fillId="6" borderId="20" xfId="0" applyNumberFormat="1" applyFont="1" applyFill="1" applyBorder="1" applyAlignment="1" applyProtection="1">
      <protection locked="0"/>
    </xf>
    <xf numFmtId="49" fontId="23" fillId="11" borderId="16" xfId="0" applyNumberFormat="1" applyFont="1" applyFill="1" applyBorder="1" applyAlignment="1" applyProtection="1">
      <alignment horizontal="left"/>
      <protection locked="0"/>
    </xf>
    <xf numFmtId="164" fontId="7" fillId="11" borderId="12" xfId="0" applyNumberFormat="1" applyFont="1" applyFill="1" applyBorder="1" applyAlignment="1" applyProtection="1">
      <alignment horizontal="center"/>
      <protection locked="0"/>
    </xf>
    <xf numFmtId="2" fontId="6" fillId="11" borderId="12" xfId="0" applyNumberFormat="1" applyFont="1" applyFill="1" applyBorder="1" applyAlignment="1" applyProtection="1">
      <alignment horizontal="center"/>
      <protection locked="0"/>
    </xf>
    <xf numFmtId="2" fontId="6" fillId="11" borderId="7" xfId="0" applyNumberFormat="1" applyFont="1" applyFill="1" applyBorder="1" applyAlignment="1" applyProtection="1">
      <alignment horizontal="center"/>
      <protection locked="0"/>
    </xf>
    <xf numFmtId="165" fontId="7" fillId="11" borderId="12" xfId="0" applyNumberFormat="1" applyFont="1" applyFill="1" applyBorder="1" applyAlignment="1" applyProtection="1">
      <alignment horizontal="center"/>
      <protection locked="0"/>
    </xf>
    <xf numFmtId="49" fontId="11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165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40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11" borderId="12" xfId="0" applyNumberFormat="1" applyFont="1" applyFill="1" applyBorder="1" applyAlignment="1" applyProtection="1">
      <alignment horizontal="center"/>
      <protection locked="0"/>
    </xf>
    <xf numFmtId="49" fontId="11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165" fontId="11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165" fontId="30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40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6" fillId="11" borderId="12" xfId="0" applyNumberFormat="1" applyFont="1" applyFill="1" applyBorder="1" applyAlignment="1" applyProtection="1">
      <alignment horizontal="center"/>
      <protection locked="0"/>
    </xf>
    <xf numFmtId="168" fontId="23" fillId="6" borderId="12" xfId="1" applyNumberFormat="1" applyFont="1" applyFill="1" applyBorder="1" applyAlignment="1" applyProtection="1">
      <alignment horizontal="center"/>
    </xf>
    <xf numFmtId="2" fontId="7" fillId="11" borderId="12" xfId="0" applyNumberFormat="1" applyFont="1" applyFill="1" applyBorder="1" applyAlignment="1" applyProtection="1">
      <alignment horizontal="center"/>
    </xf>
    <xf numFmtId="4" fontId="7" fillId="11" borderId="17" xfId="0" applyNumberFormat="1" applyFont="1" applyFill="1" applyBorder="1" applyAlignment="1" applyProtection="1">
      <alignment horizontal="center"/>
    </xf>
    <xf numFmtId="165" fontId="22" fillId="11" borderId="15" xfId="0" applyNumberFormat="1" applyFont="1" applyFill="1" applyBorder="1" applyAlignment="1" applyProtection="1">
      <alignment horizontal="center"/>
    </xf>
    <xf numFmtId="165" fontId="19" fillId="11" borderId="17" xfId="0" applyNumberFormat="1" applyFont="1" applyFill="1" applyBorder="1" applyAlignment="1" applyProtection="1">
      <alignment horizontal="center"/>
    </xf>
    <xf numFmtId="165" fontId="26" fillId="11" borderId="17" xfId="0" applyNumberFormat="1" applyFont="1" applyFill="1" applyBorder="1" applyAlignment="1" applyProtection="1">
      <alignment horizontal="center"/>
    </xf>
    <xf numFmtId="165" fontId="23" fillId="11" borderId="17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1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0" fillId="0" borderId="4" xfId="0" applyBorder="1" applyProtection="1">
      <protection locked="0"/>
    </xf>
    <xf numFmtId="0" fontId="29" fillId="0" borderId="7" xfId="0" applyFont="1" applyBorder="1" applyProtection="1">
      <protection locked="0"/>
    </xf>
    <xf numFmtId="0" fontId="8" fillId="0" borderId="0" xfId="0" applyFont="1" applyProtection="1">
      <protection locked="0"/>
    </xf>
    <xf numFmtId="0" fontId="2" fillId="6" borderId="7" xfId="0" applyFont="1" applyFill="1" applyBorder="1" applyAlignment="1" applyProtection="1">
      <protection locked="0"/>
    </xf>
    <xf numFmtId="0" fontId="2" fillId="6" borderId="0" xfId="0" applyFont="1" applyFill="1" applyBorder="1" applyAlignment="1" applyProtection="1">
      <protection locked="0"/>
    </xf>
    <xf numFmtId="0" fontId="28" fillId="6" borderId="0" xfId="0" applyFont="1" applyFill="1" applyBorder="1" applyAlignment="1" applyProtection="1">
      <protection locked="0"/>
    </xf>
    <xf numFmtId="0" fontId="28" fillId="6" borderId="8" xfId="0" applyFont="1" applyFill="1" applyBorder="1" applyAlignment="1" applyProtection="1">
      <protection locked="0"/>
    </xf>
    <xf numFmtId="0" fontId="23" fillId="6" borderId="2" xfId="0" applyFont="1" applyFill="1" applyBorder="1" applyAlignment="1" applyProtection="1"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6" fillId="0" borderId="2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7" xfId="0" applyFont="1" applyBorder="1" applyAlignment="1" applyProtection="1">
      <alignment horizontal="right"/>
      <protection locked="0"/>
    </xf>
    <xf numFmtId="10" fontId="3" fillId="0" borderId="7" xfId="0" applyNumberFormat="1" applyFont="1" applyBorder="1" applyAlignment="1" applyProtection="1">
      <alignment horizontal="center"/>
      <protection locked="0"/>
    </xf>
    <xf numFmtId="10" fontId="0" fillId="0" borderId="0" xfId="0" applyNumberForma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1" fillId="6" borderId="7" xfId="0" applyFont="1" applyFill="1" applyBorder="1" applyAlignment="1" applyProtection="1">
      <protection locked="0"/>
    </xf>
    <xf numFmtId="0" fontId="1" fillId="6" borderId="0" xfId="0" applyFont="1" applyFill="1" applyBorder="1" applyAlignment="1" applyProtection="1">
      <protection locked="0"/>
    </xf>
    <xf numFmtId="0" fontId="22" fillId="6" borderId="2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alignment horizontal="right"/>
      <protection locked="0"/>
    </xf>
    <xf numFmtId="9" fontId="0" fillId="0" borderId="7" xfId="0" applyNumberFormat="1" applyFont="1" applyFill="1" applyBorder="1" applyAlignment="1" applyProtection="1">
      <alignment horizontal="center"/>
      <protection locked="0"/>
    </xf>
    <xf numFmtId="9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165" fontId="1" fillId="0" borderId="7" xfId="0" applyNumberFormat="1" applyFont="1" applyBorder="1" applyAlignment="1" applyProtection="1">
      <alignment horizontal="right"/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6" fillId="0" borderId="2" xfId="0" applyNumberFormat="1" applyFont="1" applyBorder="1" applyProtection="1">
      <protection locked="0"/>
    </xf>
    <xf numFmtId="165" fontId="1" fillId="0" borderId="0" xfId="0" applyNumberFormat="1" applyFont="1" applyProtection="1">
      <protection locked="0"/>
    </xf>
    <xf numFmtId="0" fontId="1" fillId="4" borderId="7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0" fontId="28" fillId="4" borderId="0" xfId="0" applyFont="1" applyFill="1" applyBorder="1" applyAlignment="1" applyProtection="1">
      <protection locked="0"/>
    </xf>
    <xf numFmtId="0" fontId="28" fillId="4" borderId="8" xfId="0" applyFont="1" applyFill="1" applyBorder="1" applyAlignment="1" applyProtection="1">
      <protection locked="0"/>
    </xf>
    <xf numFmtId="0" fontId="22" fillId="4" borderId="2" xfId="0" applyFont="1" applyFill="1" applyBorder="1" applyAlignment="1" applyProtection="1">
      <protection locked="0"/>
    </xf>
    <xf numFmtId="9" fontId="0" fillId="0" borderId="7" xfId="0" applyNumberForma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right"/>
      <protection locked="0"/>
    </xf>
    <xf numFmtId="167" fontId="27" fillId="0" borderId="7" xfId="0" applyNumberFormat="1" applyFont="1" applyBorder="1" applyAlignment="1" applyProtection="1">
      <alignment horizontal="center"/>
      <protection locked="0"/>
    </xf>
    <xf numFmtId="0" fontId="26" fillId="0" borderId="2" xfId="0" applyFont="1" applyBorder="1" applyProtection="1">
      <protection locked="0"/>
    </xf>
    <xf numFmtId="0" fontId="27" fillId="0" borderId="0" xfId="0" applyFont="1" applyProtection="1">
      <protection locked="0"/>
    </xf>
    <xf numFmtId="165" fontId="27" fillId="0" borderId="7" xfId="0" applyNumberFormat="1" applyFont="1" applyBorder="1" applyAlignment="1" applyProtection="1">
      <alignment horizontal="right"/>
      <protection locked="0"/>
    </xf>
    <xf numFmtId="165" fontId="26" fillId="0" borderId="2" xfId="0" applyNumberFormat="1" applyFont="1" applyBorder="1" applyProtection="1">
      <protection locked="0"/>
    </xf>
    <xf numFmtId="165" fontId="27" fillId="0" borderId="0" xfId="0" applyNumberFormat="1" applyFont="1" applyProtection="1">
      <protection locked="0"/>
    </xf>
    <xf numFmtId="9" fontId="3" fillId="0" borderId="7" xfId="0" applyNumberFormat="1" applyFont="1" applyBorder="1" applyAlignment="1" applyProtection="1">
      <alignment horizontal="center"/>
      <protection locked="0"/>
    </xf>
    <xf numFmtId="9" fontId="3" fillId="0" borderId="0" xfId="0" applyNumberFormat="1" applyFont="1" applyBorder="1" applyAlignment="1" applyProtection="1">
      <alignment horizontal="center"/>
      <protection locked="0"/>
    </xf>
    <xf numFmtId="0" fontId="42" fillId="0" borderId="2" xfId="0" applyFont="1" applyBorder="1" applyProtection="1">
      <protection locked="0"/>
    </xf>
    <xf numFmtId="167" fontId="2" fillId="0" borderId="7" xfId="0" applyNumberFormat="1" applyFont="1" applyBorder="1" applyAlignment="1" applyProtection="1">
      <alignment horizontal="center"/>
      <protection locked="0"/>
    </xf>
    <xf numFmtId="9" fontId="0" fillId="0" borderId="7" xfId="0" applyNumberFormat="1" applyFont="1" applyBorder="1" applyAlignment="1" applyProtection="1">
      <alignment horizontal="center"/>
      <protection locked="0"/>
    </xf>
    <xf numFmtId="165" fontId="27" fillId="0" borderId="9" xfId="0" applyNumberFormat="1" applyFont="1" applyBorder="1" applyAlignment="1" applyProtection="1">
      <alignment horizontal="right"/>
      <protection locked="0"/>
    </xf>
    <xf numFmtId="165" fontId="26" fillId="0" borderId="3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3" fontId="28" fillId="0" borderId="0" xfId="0" applyNumberFormat="1" applyFont="1" applyFill="1" applyBorder="1" applyAlignment="1" applyProtection="1">
      <alignment horizontal="center"/>
    </xf>
    <xf numFmtId="3" fontId="28" fillId="0" borderId="8" xfId="0" applyNumberFormat="1" applyFont="1" applyFill="1" applyBorder="1" applyAlignment="1" applyProtection="1">
      <alignment horizontal="center"/>
    </xf>
    <xf numFmtId="10" fontId="21" fillId="0" borderId="0" xfId="0" applyNumberFormat="1" applyFont="1" applyBorder="1" applyAlignment="1" applyProtection="1">
      <alignment horizontal="center"/>
    </xf>
    <xf numFmtId="10" fontId="21" fillId="0" borderId="8" xfId="0" applyNumberFormat="1" applyFont="1" applyBorder="1" applyAlignment="1" applyProtection="1">
      <alignment horizontal="center"/>
    </xf>
    <xf numFmtId="10" fontId="28" fillId="0" borderId="0" xfId="0" applyNumberFormat="1" applyFont="1" applyBorder="1" applyAlignment="1" applyProtection="1">
      <alignment horizontal="center"/>
    </xf>
    <xf numFmtId="10" fontId="28" fillId="0" borderId="8" xfId="0" applyNumberFormat="1" applyFont="1" applyBorder="1" applyAlignment="1" applyProtection="1">
      <alignment horizontal="center"/>
    </xf>
    <xf numFmtId="10" fontId="1" fillId="0" borderId="7" xfId="0" applyNumberFormat="1" applyFont="1" applyBorder="1" applyAlignment="1" applyProtection="1">
      <alignment horizontal="center"/>
    </xf>
    <xf numFmtId="10" fontId="1" fillId="0" borderId="0" xfId="0" applyNumberFormat="1" applyFont="1" applyBorder="1" applyAlignment="1" applyProtection="1">
      <alignment horizontal="center"/>
    </xf>
    <xf numFmtId="9" fontId="21" fillId="0" borderId="0" xfId="0" applyNumberFormat="1" applyFont="1" applyFill="1" applyBorder="1" applyAlignment="1" applyProtection="1">
      <alignment horizontal="center"/>
    </xf>
    <xf numFmtId="9" fontId="21" fillId="0" borderId="8" xfId="0" applyNumberFormat="1" applyFont="1" applyFill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4" fontId="21" fillId="0" borderId="8" xfId="0" applyNumberFormat="1" applyFont="1" applyBorder="1" applyAlignment="1" applyProtection="1">
      <alignment horizontal="center"/>
    </xf>
    <xf numFmtId="164" fontId="28" fillId="0" borderId="0" xfId="0" applyNumberFormat="1" applyFont="1" applyBorder="1" applyAlignment="1" applyProtection="1">
      <alignment horizontal="center"/>
    </xf>
    <xf numFmtId="164" fontId="28" fillId="0" borderId="8" xfId="0" applyNumberFormat="1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28" fillId="0" borderId="8" xfId="0" applyFont="1" applyBorder="1" applyAlignment="1" applyProtection="1">
      <alignment horizontal="center"/>
    </xf>
    <xf numFmtId="165" fontId="28" fillId="0" borderId="0" xfId="0" applyNumberFormat="1" applyFont="1" applyBorder="1" applyAlignment="1" applyProtection="1">
      <alignment horizontal="center"/>
    </xf>
    <xf numFmtId="165" fontId="28" fillId="0" borderId="8" xfId="0" applyNumberFormat="1" applyFon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9" fontId="21" fillId="0" borderId="0" xfId="0" applyNumberFormat="1" applyFont="1" applyBorder="1" applyAlignment="1" applyProtection="1">
      <alignment horizontal="center"/>
    </xf>
    <xf numFmtId="9" fontId="21" fillId="0" borderId="8" xfId="0" applyNumberFormat="1" applyFon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7" fontId="27" fillId="0" borderId="0" xfId="0" applyNumberFormat="1" applyFont="1" applyBorder="1" applyAlignment="1" applyProtection="1">
      <alignment horizontal="center"/>
    </xf>
    <xf numFmtId="167" fontId="27" fillId="0" borderId="8" xfId="0" applyNumberFormat="1" applyFont="1" applyBorder="1" applyAlignment="1" applyProtection="1">
      <alignment horizontal="center"/>
    </xf>
    <xf numFmtId="165" fontId="27" fillId="0" borderId="7" xfId="0" applyNumberFormat="1" applyFont="1" applyBorder="1" applyAlignment="1" applyProtection="1">
      <alignment horizontal="center"/>
    </xf>
    <xf numFmtId="165" fontId="27" fillId="0" borderId="0" xfId="0" applyNumberFormat="1" applyFont="1" applyBorder="1" applyAlignment="1" applyProtection="1">
      <alignment horizontal="center"/>
    </xf>
    <xf numFmtId="165" fontId="27" fillId="0" borderId="8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7" fontId="28" fillId="0" borderId="0" xfId="0" applyNumberFormat="1" applyFont="1" applyBorder="1" applyAlignment="1" applyProtection="1">
      <alignment horizontal="center"/>
    </xf>
    <xf numFmtId="165" fontId="27" fillId="0" borderId="9" xfId="0" applyNumberFormat="1" applyFont="1" applyBorder="1" applyAlignment="1" applyProtection="1">
      <alignment horizontal="center"/>
    </xf>
    <xf numFmtId="165" fontId="27" fillId="0" borderId="10" xfId="0" applyNumberFormat="1" applyFont="1" applyBorder="1" applyAlignment="1" applyProtection="1">
      <alignment horizontal="center"/>
    </xf>
    <xf numFmtId="165" fontId="27" fillId="0" borderId="11" xfId="0" applyNumberFormat="1" applyFont="1" applyBorder="1" applyAlignment="1" applyProtection="1">
      <alignment horizontal="center"/>
    </xf>
    <xf numFmtId="0" fontId="44" fillId="0" borderId="0" xfId="0" applyFont="1" applyFill="1" applyBorder="1" applyAlignment="1">
      <alignment wrapText="1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7" fontId="27" fillId="0" borderId="0" xfId="0" applyNumberFormat="1" applyFont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45" fillId="0" borderId="0" xfId="0" applyFont="1"/>
    <xf numFmtId="0" fontId="45" fillId="0" borderId="0" xfId="0" applyFont="1" applyFill="1"/>
    <xf numFmtId="0" fontId="31" fillId="0" borderId="0" xfId="0" applyFont="1" applyFill="1" applyAlignment="1">
      <alignment horizontal="center"/>
    </xf>
    <xf numFmtId="0" fontId="45" fillId="0" borderId="0" xfId="0" applyFont="1" applyProtection="1">
      <protection locked="0"/>
    </xf>
    <xf numFmtId="0" fontId="2" fillId="17" borderId="4" xfId="0" applyFont="1" applyFill="1" applyBorder="1" applyAlignment="1" applyProtection="1">
      <alignment horizontal="center" vertical="center" wrapText="1"/>
      <protection locked="0"/>
    </xf>
    <xf numFmtId="0" fontId="2" fillId="17" borderId="5" xfId="0" applyFont="1" applyFill="1" applyBorder="1" applyAlignment="1" applyProtection="1">
      <alignment horizontal="center" vertical="center" wrapText="1"/>
      <protection locked="0"/>
    </xf>
    <xf numFmtId="0" fontId="21" fillId="17" borderId="5" xfId="0" applyFont="1" applyFill="1" applyBorder="1" applyAlignment="1" applyProtection="1">
      <alignment horizontal="center" vertical="center" wrapText="1"/>
      <protection locked="0"/>
    </xf>
    <xf numFmtId="0" fontId="21" fillId="17" borderId="6" xfId="0" applyFont="1" applyFill="1" applyBorder="1" applyAlignment="1" applyProtection="1">
      <alignment horizontal="center" vertical="center" wrapText="1"/>
      <protection locked="0"/>
    </xf>
    <xf numFmtId="0" fontId="3" fillId="17" borderId="7" xfId="0" applyFont="1" applyFill="1" applyBorder="1" applyAlignment="1" applyProtection="1">
      <alignment horizontal="center" vertical="center" wrapText="1"/>
      <protection locked="0"/>
    </xf>
    <xf numFmtId="0" fontId="3" fillId="17" borderId="0" xfId="0" applyFont="1" applyFill="1" applyBorder="1" applyAlignment="1" applyProtection="1">
      <alignment horizontal="center" vertical="center" wrapText="1"/>
      <protection locked="0"/>
    </xf>
    <xf numFmtId="0" fontId="21" fillId="17" borderId="0" xfId="0" applyFont="1" applyFill="1" applyBorder="1" applyAlignment="1" applyProtection="1">
      <alignment horizontal="center" vertical="center" wrapText="1"/>
      <protection locked="0"/>
    </xf>
    <xf numFmtId="0" fontId="21" fillId="17" borderId="8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>
      <alignment horizontal="left"/>
    </xf>
    <xf numFmtId="170" fontId="0" fillId="0" borderId="0" xfId="0" applyNumberFormat="1"/>
    <xf numFmtId="171" fontId="0" fillId="0" borderId="0" xfId="0" applyNumberFormat="1"/>
    <xf numFmtId="171" fontId="0" fillId="0" borderId="0" xfId="0" applyNumberFormat="1" applyFill="1" applyProtection="1">
      <protection locked="0"/>
    </xf>
    <xf numFmtId="0" fontId="21" fillId="0" borderId="2" xfId="0" applyFont="1" applyFill="1" applyBorder="1" applyAlignment="1">
      <alignment horizontal="left"/>
    </xf>
    <xf numFmtId="3" fontId="46" fillId="0" borderId="2" xfId="0" applyNumberFormat="1" applyFont="1" applyFill="1" applyBorder="1" applyAlignment="1">
      <alignment horizontal="center" vertical="center" wrapText="1"/>
    </xf>
    <xf numFmtId="3" fontId="46" fillId="0" borderId="8" xfId="0" applyNumberFormat="1" applyFont="1" applyFill="1" applyBorder="1" applyAlignment="1">
      <alignment horizontal="center" vertical="center" wrapText="1"/>
    </xf>
    <xf numFmtId="0" fontId="47" fillId="0" borderId="2" xfId="0" applyFont="1" applyBorder="1" applyAlignment="1">
      <alignment wrapText="1"/>
    </xf>
    <xf numFmtId="0" fontId="47" fillId="0" borderId="0" xfId="0" applyFont="1" applyProtection="1">
      <protection locked="0"/>
    </xf>
    <xf numFmtId="0" fontId="3" fillId="18" borderId="0" xfId="0" applyFont="1" applyFill="1" applyProtection="1">
      <protection locked="0"/>
    </xf>
    <xf numFmtId="3" fontId="1" fillId="18" borderId="7" xfId="0" applyNumberFormat="1" applyFont="1" applyFill="1" applyBorder="1" applyAlignment="1" applyProtection="1">
      <alignment horizontal="center"/>
      <protection locked="0"/>
    </xf>
    <xf numFmtId="3" fontId="1" fillId="18" borderId="0" xfId="0" applyNumberFormat="1" applyFont="1" applyFill="1" applyBorder="1" applyAlignment="1" applyProtection="1">
      <alignment horizontal="center"/>
      <protection locked="0"/>
    </xf>
    <xf numFmtId="10" fontId="1" fillId="18" borderId="0" xfId="0" applyNumberFormat="1" applyFont="1" applyFill="1" applyBorder="1" applyAlignment="1" applyProtection="1">
      <alignment horizontal="center"/>
      <protection locked="0"/>
    </xf>
    <xf numFmtId="10" fontId="1" fillId="18" borderId="7" xfId="0" applyNumberFormat="1" applyFont="1" applyFill="1" applyBorder="1" applyAlignment="1" applyProtection="1">
      <alignment horizontal="center"/>
      <protection locked="0"/>
    </xf>
    <xf numFmtId="0" fontId="49" fillId="0" borderId="2" xfId="2" applyBorder="1" applyAlignment="1">
      <alignment wrapText="1"/>
    </xf>
    <xf numFmtId="0" fontId="2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7" fillId="6" borderId="0" xfId="0" applyFont="1" applyFill="1" applyAlignment="1">
      <alignment horizontal="left"/>
    </xf>
    <xf numFmtId="0" fontId="27" fillId="6" borderId="0" xfId="0" applyFont="1" applyFill="1" applyAlignment="1">
      <alignment horizontal="center"/>
    </xf>
    <xf numFmtId="0" fontId="2" fillId="17" borderId="1" xfId="0" applyFont="1" applyFill="1" applyBorder="1" applyAlignment="1" applyProtection="1">
      <alignment horizontal="center" vertical="center" wrapText="1"/>
      <protection locked="0"/>
    </xf>
    <xf numFmtId="0" fontId="2" fillId="17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22" fillId="0" borderId="28" xfId="0" applyFont="1" applyFill="1" applyBorder="1" applyAlignment="1" applyProtection="1">
      <alignment horizontal="center"/>
      <protection locked="0"/>
    </xf>
    <xf numFmtId="2" fontId="6" fillId="7" borderId="28" xfId="0" applyNumberFormat="1" applyFont="1" applyFill="1" applyBorder="1" applyAlignment="1" applyProtection="1">
      <alignment horizontal="center"/>
      <protection locked="0"/>
    </xf>
    <xf numFmtId="2" fontId="6" fillId="7" borderId="29" xfId="0" applyNumberFormat="1" applyFont="1" applyFill="1" applyBorder="1" applyAlignment="1" applyProtection="1">
      <alignment horizontal="center"/>
      <protection locked="0"/>
    </xf>
    <xf numFmtId="2" fontId="6" fillId="7" borderId="40" xfId="0" applyNumberFormat="1" applyFont="1" applyFill="1" applyBorder="1" applyAlignment="1" applyProtection="1">
      <alignment horizontal="center"/>
      <protection locked="0"/>
    </xf>
    <xf numFmtId="168" fontId="23" fillId="7" borderId="22" xfId="1" applyNumberFormat="1" applyFont="1" applyFill="1" applyBorder="1" applyAlignment="1" applyProtection="1">
      <alignment horizontal="center"/>
      <protection locked="0"/>
    </xf>
    <xf numFmtId="168" fontId="23" fillId="7" borderId="7" xfId="1" applyNumberFormat="1" applyFont="1" applyFill="1" applyBorder="1" applyAlignment="1" applyProtection="1">
      <alignment horizontal="center"/>
      <protection locked="0"/>
    </xf>
    <xf numFmtId="168" fontId="23" fillId="7" borderId="9" xfId="1" applyNumberFormat="1" applyFont="1" applyFill="1" applyBorder="1" applyAlignment="1" applyProtection="1">
      <alignment horizontal="center"/>
      <protection locked="0"/>
    </xf>
    <xf numFmtId="164" fontId="6" fillId="7" borderId="24" xfId="0" applyNumberFormat="1" applyFont="1" applyFill="1" applyBorder="1" applyAlignment="1" applyProtection="1">
      <alignment horizontal="center"/>
      <protection locked="0"/>
    </xf>
    <xf numFmtId="164" fontId="6" fillId="7" borderId="30" xfId="0" applyNumberFormat="1" applyFont="1" applyFill="1" applyBorder="1" applyAlignment="1" applyProtection="1">
      <alignment horizontal="center"/>
      <protection locked="0"/>
    </xf>
    <xf numFmtId="164" fontId="6" fillId="7" borderId="31" xfId="0" applyNumberFormat="1" applyFont="1" applyFill="1" applyBorder="1" applyAlignment="1" applyProtection="1">
      <alignment horizontal="center"/>
      <protection locked="0"/>
    </xf>
    <xf numFmtId="164" fontId="6" fillId="7" borderId="26" xfId="0" applyNumberFormat="1" applyFont="1" applyFill="1" applyBorder="1" applyAlignment="1" applyProtection="1">
      <alignment horizontal="center"/>
      <protection locked="0"/>
    </xf>
    <xf numFmtId="164" fontId="6" fillId="7" borderId="32" xfId="0" applyNumberFormat="1" applyFont="1" applyFill="1" applyBorder="1" applyAlignment="1" applyProtection="1">
      <alignment horizontal="center"/>
      <protection locked="0"/>
    </xf>
    <xf numFmtId="164" fontId="6" fillId="7" borderId="13" xfId="0" applyNumberFormat="1" applyFont="1" applyFill="1" applyBorder="1" applyAlignment="1" applyProtection="1">
      <alignment horizontal="center"/>
      <protection locked="0"/>
    </xf>
    <xf numFmtId="4" fontId="7" fillId="7" borderId="24" xfId="0" applyNumberFormat="1" applyFont="1" applyFill="1" applyBorder="1" applyAlignment="1" applyProtection="1">
      <alignment horizontal="center"/>
      <protection locked="0"/>
    </xf>
    <xf numFmtId="4" fontId="7" fillId="7" borderId="25" xfId="0" applyNumberFormat="1" applyFont="1" applyFill="1" applyBorder="1" applyAlignment="1" applyProtection="1">
      <alignment horizontal="center"/>
      <protection locked="0"/>
    </xf>
    <xf numFmtId="4" fontId="7" fillId="7" borderId="26" xfId="0" applyNumberFormat="1" applyFont="1" applyFill="1" applyBorder="1" applyAlignment="1" applyProtection="1">
      <alignment horizontal="center"/>
      <protection locked="0"/>
    </xf>
    <xf numFmtId="4" fontId="7" fillId="7" borderId="27" xfId="0" applyNumberFormat="1" applyFont="1" applyFill="1" applyBorder="1" applyAlignment="1" applyProtection="1">
      <alignment horizontal="center"/>
      <protection locked="0"/>
    </xf>
    <xf numFmtId="165" fontId="22" fillId="7" borderId="22" xfId="0" applyNumberFormat="1" applyFont="1" applyFill="1" applyBorder="1" applyAlignment="1" applyProtection="1">
      <alignment horizontal="center"/>
      <protection locked="0"/>
    </xf>
    <xf numFmtId="165" fontId="22" fillId="7" borderId="25" xfId="0" applyNumberFormat="1" applyFont="1" applyFill="1" applyBorder="1" applyAlignment="1" applyProtection="1">
      <alignment horizontal="center"/>
      <protection locked="0"/>
    </xf>
    <xf numFmtId="165" fontId="22" fillId="7" borderId="23" xfId="0" applyNumberFormat="1" applyFont="1" applyFill="1" applyBorder="1" applyAlignment="1" applyProtection="1">
      <alignment horizontal="center"/>
      <protection locked="0"/>
    </xf>
    <xf numFmtId="165" fontId="22" fillId="7" borderId="27" xfId="0" applyNumberFormat="1" applyFont="1" applyFill="1" applyBorder="1" applyAlignment="1" applyProtection="1">
      <alignment horizontal="center"/>
      <protection locked="0"/>
    </xf>
    <xf numFmtId="165" fontId="26" fillId="7" borderId="21" xfId="0" applyNumberFormat="1" applyFont="1" applyFill="1" applyBorder="1" applyAlignment="1" applyProtection="1">
      <alignment horizontal="center"/>
      <protection locked="0"/>
    </xf>
    <xf numFmtId="165" fontId="26" fillId="7" borderId="14" xfId="0" applyNumberFormat="1" applyFont="1" applyFill="1" applyBorder="1" applyAlignment="1" applyProtection="1">
      <alignment horizontal="center"/>
      <protection locked="0"/>
    </xf>
    <xf numFmtId="0" fontId="18" fillId="2" borderId="46" xfId="0" applyFont="1" applyFill="1" applyBorder="1" applyAlignment="1" applyProtection="1">
      <alignment horizontal="center" vertical="center"/>
      <protection locked="0"/>
    </xf>
    <xf numFmtId="0" fontId="18" fillId="2" borderId="47" xfId="0" applyFont="1" applyFill="1" applyBorder="1" applyAlignment="1" applyProtection="1">
      <alignment horizontal="center" vertical="center"/>
      <protection locked="0"/>
    </xf>
    <xf numFmtId="0" fontId="18" fillId="2" borderId="48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31" xfId="0" applyFont="1" applyFill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 applyProtection="1">
      <alignment horizontal="center" vertical="center"/>
      <protection locked="0"/>
    </xf>
    <xf numFmtId="0" fontId="22" fillId="0" borderId="37" xfId="0" applyFont="1" applyFill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97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50"/>
              <a:t>Répartition</a:t>
            </a:r>
            <a:r>
              <a:rPr lang="fr-FR" sz="1050" baseline="0"/>
              <a:t> mortalité/morbidité (population totale)</a:t>
            </a:r>
            <a:endParaRPr lang="fr-FR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908971717643211"/>
          <c:y val="9.4168561185332803E-2"/>
          <c:w val="0.81555796150481186"/>
          <c:h val="0.7251123756148811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Résultats!$C$6</c:f>
              <c:strCache>
                <c:ptCount val="1"/>
                <c:pt idx="0">
                  <c:v>Gain de mortalité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p3d>
              <a:contourClr>
                <a:schemeClr val="accent4">
                  <a:lumMod val="50000"/>
                </a:schemeClr>
              </a:contourClr>
            </a:sp3d>
          </c:spPr>
          <c:invertIfNegative val="0"/>
          <c:val>
            <c:numRef>
              <c:f>Résultats!$F$6</c:f>
              <c:numCache>
                <c:formatCode>#\ ##0\ "€"</c:formatCode>
                <c:ptCount val="1"/>
                <c:pt idx="0">
                  <c:v>8609659.5917095952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0-4545-9A07-22E6571A8A8F}"/>
            </c:ext>
          </c:extLst>
        </c:ser>
        <c:ser>
          <c:idx val="1"/>
          <c:order val="1"/>
          <c:tx>
            <c:strRef>
              <c:f>Résultats!$C$7</c:f>
              <c:strCache>
                <c:ptCount val="1"/>
                <c:pt idx="0">
                  <c:v>Gain de morbidité borne basse (MCV et cancers)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Résultats!$F$7</c:f>
              <c:numCache>
                <c:formatCode>#\ ##0\ "€"</c:formatCode>
                <c:ptCount val="1"/>
                <c:pt idx="0">
                  <c:v>153177.45186281108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7-49F3-97E2-05AE8B943DB5}"/>
            </c:ext>
          </c:extLst>
        </c:ser>
        <c:ser>
          <c:idx val="2"/>
          <c:order val="2"/>
          <c:tx>
            <c:strRef>
              <c:f>Résultats!$C$9</c:f>
              <c:strCache>
                <c:ptCount val="1"/>
                <c:pt idx="0">
                  <c:v>Gain de morbidité (autres pathologies)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accent4">
                  <a:lumMod val="20000"/>
                  <a:lumOff val="80000"/>
                </a:schemeClr>
              </a:solidFill>
            </a:ln>
            <a:effectLst/>
            <a:sp3d>
              <a:contourClr>
                <a:schemeClr val="accent4">
                  <a:lumMod val="20000"/>
                  <a:lumOff val="80000"/>
                </a:schemeClr>
              </a:contourClr>
            </a:sp3d>
          </c:spPr>
          <c:invertIfNegative val="0"/>
          <c:val>
            <c:numRef>
              <c:f>Résultats!$F$9</c:f>
              <c:numCache>
                <c:formatCode>#\ ##0\ "€"</c:formatCode>
                <c:ptCount val="1"/>
                <c:pt idx="0">
                  <c:v>377271.78452765686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7-49F3-97E2-05AE8B943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168304"/>
        <c:axId val="961172880"/>
        <c:axId val="0"/>
      </c:bar3DChart>
      <c:catAx>
        <c:axId val="961168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1172880"/>
        <c:crosses val="autoZero"/>
        <c:auto val="1"/>
        <c:lblAlgn val="ctr"/>
        <c:lblOffset val="100"/>
        <c:noMultiLvlLbl val="0"/>
      </c:catAx>
      <c:valAx>
        <c:axId val="961172880"/>
        <c:scaling>
          <c:orientation val="minMax"/>
          <c:max val="4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116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061643602387183E-2"/>
          <c:y val="0.86657862415208631"/>
          <c:w val="0.9719384709368154"/>
          <c:h val="0.13342137584791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/>
              <a:t>Répartition du coût de morbidité (population</a:t>
            </a:r>
            <a:r>
              <a:rPr lang="fr-FR" sz="1100" baseline="0"/>
              <a:t> totale)</a:t>
            </a:r>
            <a:endParaRPr lang="fr-FR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55314960629921"/>
          <c:y val="0.16287037037037036"/>
          <c:w val="0.84089129483814529"/>
          <c:h val="0.6238269174686497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Résultats!$C$25</c:f>
              <c:strCache>
                <c:ptCount val="1"/>
                <c:pt idx="0">
                  <c:v>Coûts intangibles (MCV et cancers)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p3d>
              <a:contourClr>
                <a:schemeClr val="accent6">
                  <a:lumMod val="75000"/>
                </a:schemeClr>
              </a:contourClr>
            </a:sp3d>
          </c:spPr>
          <c:invertIfNegative val="0"/>
          <c:val>
            <c:numRef>
              <c:f>Résultats!$F$25</c:f>
              <c:numCache>
                <c:formatCode>#\ ##0\ "€"</c:formatCode>
                <c:ptCount val="1"/>
                <c:pt idx="0">
                  <c:v>105114.44886994991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5-430B-9139-0D4B97E77FB7}"/>
            </c:ext>
          </c:extLst>
        </c:ser>
        <c:ser>
          <c:idx val="2"/>
          <c:order val="1"/>
          <c:tx>
            <c:strRef>
              <c:f>Résultats!$C$28</c:f>
              <c:strCache>
                <c:ptCount val="1"/>
                <c:pt idx="0">
                  <c:v>Coûts intangibles (autres pathologies)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Résultats!$F$28</c:f>
              <c:numCache>
                <c:formatCode>#\ ##0\ "€"</c:formatCode>
                <c:ptCount val="1"/>
                <c:pt idx="0">
                  <c:v>304867.89136021433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2-4490-A5EC-DED21ECB1361}"/>
            </c:ext>
          </c:extLst>
        </c:ser>
        <c:ser>
          <c:idx val="1"/>
          <c:order val="2"/>
          <c:tx>
            <c:strRef>
              <c:f>Résultats!$C$26</c:f>
              <c:strCache>
                <c:ptCount val="1"/>
                <c:pt idx="0">
                  <c:v>Coûts médicaux (MCV et cancers)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  <a:sp3d>
              <a:contourClr>
                <a:schemeClr val="accent6">
                  <a:lumMod val="40000"/>
                  <a:lumOff val="60000"/>
                </a:schemeClr>
              </a:contourClr>
            </a:sp3d>
          </c:spPr>
          <c:invertIfNegative val="0"/>
          <c:val>
            <c:numRef>
              <c:f>Résultats!$F$26</c:f>
              <c:numCache>
                <c:formatCode>#\ ##0\ "€"</c:formatCode>
                <c:ptCount val="1"/>
                <c:pt idx="0">
                  <c:v>48063.002992861177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5-430B-9139-0D4B97E77FB7}"/>
            </c:ext>
          </c:extLst>
        </c:ser>
        <c:ser>
          <c:idx val="3"/>
          <c:order val="3"/>
          <c:tx>
            <c:strRef>
              <c:f>Résultats!$C$29</c:f>
              <c:strCache>
                <c:ptCount val="1"/>
                <c:pt idx="0">
                  <c:v>Coûts médicaux (autres pathologies)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Résultats!$F$29</c:f>
              <c:numCache>
                <c:formatCode>#\ ##0\ "€"</c:formatCode>
                <c:ptCount val="1"/>
                <c:pt idx="0">
                  <c:v>72403.89316744254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D2-4490-A5EC-DED21ECB1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5382704"/>
        <c:axId val="955378128"/>
        <c:axId val="0"/>
      </c:bar3DChart>
      <c:catAx>
        <c:axId val="955382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55378128"/>
        <c:crosses val="autoZero"/>
        <c:auto val="1"/>
        <c:lblAlgn val="ctr"/>
        <c:lblOffset val="100"/>
        <c:noMultiLvlLbl val="0"/>
      </c:catAx>
      <c:valAx>
        <c:axId val="955378128"/>
        <c:scaling>
          <c:orientation val="minMax"/>
          <c:max val="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38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/>
              <a:t>Coûts</a:t>
            </a:r>
            <a:r>
              <a:rPr lang="fr-FR" sz="1100" baseline="0"/>
              <a:t> de morbidité par pathologie - Population totale</a:t>
            </a:r>
            <a:endParaRPr lang="fr-FR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9-4E2F-A40C-70A17E2ACB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9-4E2F-A40C-70A17E2ACB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E9-4E2F-A40C-70A17E2ACB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E9-4E2F-A40C-70A17E2ACB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E9-4E2F-A40C-70A17E2ACB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E9-4E2F-A40C-70A17E2ACB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6E9-4E2F-A40C-70A17E2ACBC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E9-4E2F-A40C-70A17E2ACBC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6E9-4E2F-A40C-70A17E2ACBC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6E9-4E2F-A40C-70A17E2ACBC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6E9-4E2F-A40C-70A17E2ACB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(Résultats!$C$34,Résultats!$C$39,Résultats!$C$44,Résultats!$C$49,Résultats!$C$54,Résultats!$C$59,Résultats!$C$64,Résultats!$C$69,Résultats!$C$74,Résultats!$C$79,Résultats!$C$84)</c:f>
              <c:strCache>
                <c:ptCount val="11"/>
                <c:pt idx="0">
                  <c:v>Pathologie coronarienne</c:v>
                </c:pt>
                <c:pt idx="1">
                  <c:v>AVC</c:v>
                </c:pt>
                <c:pt idx="2">
                  <c:v>Cancer du sein</c:v>
                </c:pt>
                <c:pt idx="3">
                  <c:v>Cancer du côlon</c:v>
                </c:pt>
                <c:pt idx="4">
                  <c:v>Cancer de l'estomac</c:v>
                </c:pt>
                <c:pt idx="5">
                  <c:v>Cancer de la vessie</c:v>
                </c:pt>
                <c:pt idx="6">
                  <c:v>Cancer de l'œsophage</c:v>
                </c:pt>
                <c:pt idx="7">
                  <c:v>Diabète</c:v>
                </c:pt>
                <c:pt idx="8">
                  <c:v>BPCO</c:v>
                </c:pt>
                <c:pt idx="9">
                  <c:v>Alzheimer</c:v>
                </c:pt>
                <c:pt idx="10">
                  <c:v>Parkinson</c:v>
                </c:pt>
              </c:strCache>
            </c:strRef>
          </c:cat>
          <c:val>
            <c:numRef>
              <c:f>(Résultats!$F$36,Résultats!$F$41,Résultats!$F$46,Résultats!$F$51,Résultats!$F$56,Résultats!$F$61,Résultats!$F$66,Résultats!$F$71,Résultats!$F$76,Résultats!$F$81,Résultats!$F$86)</c:f>
              <c:numCache>
                <c:formatCode>#\ ##0\ "€"</c:formatCode>
                <c:ptCount val="11"/>
                <c:pt idx="0">
                  <c:v>50704.100929692213</c:v>
                </c:pt>
                <c:pt idx="1">
                  <c:v>63224.076993535447</c:v>
                </c:pt>
                <c:pt idx="2">
                  <c:v>22714.988199363561</c:v>
                </c:pt>
                <c:pt idx="3">
                  <c:v>10000.455475444796</c:v>
                </c:pt>
                <c:pt idx="4">
                  <c:v>582.22174355861569</c:v>
                </c:pt>
                <c:pt idx="5">
                  <c:v>4210.662005295866</c:v>
                </c:pt>
                <c:pt idx="6">
                  <c:v>1740.9465159205581</c:v>
                </c:pt>
                <c:pt idx="7">
                  <c:v>309678.89057603356</c:v>
                </c:pt>
                <c:pt idx="8">
                  <c:v>18001.636322208436</c:v>
                </c:pt>
                <c:pt idx="9">
                  <c:v>40996.896748372594</c:v>
                </c:pt>
                <c:pt idx="10">
                  <c:v>8594.3608810423193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6E9-4E2F-A40C-70A17E2ACB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Coûts des pathologies</a:t>
            </a:r>
            <a:r>
              <a:rPr lang="fr-FR" baseline="0"/>
              <a:t> (sous-population A : 20-39 ans)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Annexe!$I$9</c:f>
              <c:strCache>
                <c:ptCount val="1"/>
                <c:pt idx="0">
                  <c:v>Coût intangible de morbidité (avec VAV)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(Annexe!$B$14,Annexe!$B$16,Annexe!$B$18,Annexe!$B$20,Annexe!$B$22,Annexe!$B$24,Annexe!$B$26,Annexe!$B$28,Annexe!$B$30,Annexe!$B$32,Annexe!$B$34)</c:f>
              <c:strCache>
                <c:ptCount val="11"/>
                <c:pt idx="0">
                  <c:v>Pathologie coronarienne</c:v>
                </c:pt>
                <c:pt idx="1">
                  <c:v>AVC ischémique</c:v>
                </c:pt>
                <c:pt idx="2">
                  <c:v>Cancer du sein</c:v>
                </c:pt>
                <c:pt idx="3">
                  <c:v>Cancer du côlon</c:v>
                </c:pt>
                <c:pt idx="4">
                  <c:v>Cancer de l'estomac</c:v>
                </c:pt>
                <c:pt idx="5">
                  <c:v>Cancer de la vessie</c:v>
                </c:pt>
                <c:pt idx="6">
                  <c:v>Cancer de l'œsophage</c:v>
                </c:pt>
                <c:pt idx="7">
                  <c:v>Diabète</c:v>
                </c:pt>
                <c:pt idx="8">
                  <c:v>BPCO</c:v>
                </c:pt>
                <c:pt idx="9">
                  <c:v>Alzheimer</c:v>
                </c:pt>
                <c:pt idx="10">
                  <c:v>Parkinson</c:v>
                </c:pt>
              </c:strCache>
            </c:strRef>
          </c:cat>
          <c:val>
            <c:numRef>
              <c:f>(Annexe!$I$14,Annexe!$I$16,Annexe!$I$18,Annexe!$I$20,Annexe!$I$22,Annexe!$I$24,Annexe!$I$26,Annexe!$I$28,Annexe!$I$30,Annexe!$I$32,Annexe!$I$34)</c:f>
              <c:numCache>
                <c:formatCode>#\ ##0\ "€"</c:formatCode>
                <c:ptCount val="11"/>
                <c:pt idx="0">
                  <c:v>13989.894432343121</c:v>
                </c:pt>
                <c:pt idx="1">
                  <c:v>158069.49466788935</c:v>
                </c:pt>
                <c:pt idx="2">
                  <c:v>109361.25797860834</c:v>
                </c:pt>
                <c:pt idx="3">
                  <c:v>64919.472461714679</c:v>
                </c:pt>
                <c:pt idx="4">
                  <c:v>26897.104367085125</c:v>
                </c:pt>
                <c:pt idx="5">
                  <c:v>60987.914786443398</c:v>
                </c:pt>
                <c:pt idx="6">
                  <c:v>28607.672111252436</c:v>
                </c:pt>
                <c:pt idx="7">
                  <c:v>122030.69200472174</c:v>
                </c:pt>
                <c:pt idx="8">
                  <c:v>65613.710812706544</c:v>
                </c:pt>
                <c:pt idx="9">
                  <c:v>0</c:v>
                </c:pt>
                <c:pt idx="10">
                  <c:v>179008.06481959339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8-4E0E-9E52-094E8524F6C5}"/>
            </c:ext>
          </c:extLst>
        </c:ser>
        <c:ser>
          <c:idx val="1"/>
          <c:order val="1"/>
          <c:tx>
            <c:strRef>
              <c:f>Annexe!$N$9</c:f>
              <c:strCache>
                <c:ptCount val="1"/>
                <c:pt idx="0">
                  <c:v>Dépenses de santé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(Annexe!$B$14,Annexe!$B$16,Annexe!$B$18,Annexe!$B$20,Annexe!$B$22,Annexe!$B$24,Annexe!$B$26,Annexe!$B$28,Annexe!$B$30,Annexe!$B$32,Annexe!$B$34)</c:f>
              <c:strCache>
                <c:ptCount val="11"/>
                <c:pt idx="0">
                  <c:v>Pathologie coronarienne</c:v>
                </c:pt>
                <c:pt idx="1">
                  <c:v>AVC ischémique</c:v>
                </c:pt>
                <c:pt idx="2">
                  <c:v>Cancer du sein</c:v>
                </c:pt>
                <c:pt idx="3">
                  <c:v>Cancer du côlon</c:v>
                </c:pt>
                <c:pt idx="4">
                  <c:v>Cancer de l'estomac</c:v>
                </c:pt>
                <c:pt idx="5">
                  <c:v>Cancer de la vessie</c:v>
                </c:pt>
                <c:pt idx="6">
                  <c:v>Cancer de l'œsophage</c:v>
                </c:pt>
                <c:pt idx="7">
                  <c:v>Diabète</c:v>
                </c:pt>
                <c:pt idx="8">
                  <c:v>BPCO</c:v>
                </c:pt>
                <c:pt idx="9">
                  <c:v>Alzheimer</c:v>
                </c:pt>
                <c:pt idx="10">
                  <c:v>Parkinson</c:v>
                </c:pt>
              </c:strCache>
            </c:strRef>
          </c:cat>
          <c:val>
            <c:numRef>
              <c:f>(Annexe!$N$14,Annexe!$N$16,Annexe!$N$18,Annexe!$N$20,Annexe!$N$22,Annexe!$N$24,Annexe!$N$26,Annexe!$N$28,Annexe!$N$30,Annexe!$N$32,Annexe!$N$34)</c:f>
              <c:numCache>
                <c:formatCode>#\ ##0\ "€"</c:formatCode>
                <c:ptCount val="11"/>
                <c:pt idx="0">
                  <c:v>20937.831878696357</c:v>
                </c:pt>
                <c:pt idx="1">
                  <c:v>38946.327078413138</c:v>
                </c:pt>
                <c:pt idx="2">
                  <c:v>46968.351598059344</c:v>
                </c:pt>
                <c:pt idx="3">
                  <c:v>26715.952334288417</c:v>
                </c:pt>
                <c:pt idx="4">
                  <c:v>11709.740195349168</c:v>
                </c:pt>
                <c:pt idx="5">
                  <c:v>32837.637113209894</c:v>
                </c:pt>
                <c:pt idx="6">
                  <c:v>11180.657066637856</c:v>
                </c:pt>
                <c:pt idx="7">
                  <c:v>36514.116824496406</c:v>
                </c:pt>
                <c:pt idx="8">
                  <c:v>10405.406271741789</c:v>
                </c:pt>
                <c:pt idx="9">
                  <c:v>22747.957202560861</c:v>
                </c:pt>
                <c:pt idx="10">
                  <c:v>32152.452152241003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8-4E0E-9E52-094E8524F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15306687"/>
        <c:axId val="1515301695"/>
      </c:barChart>
      <c:catAx>
        <c:axId val="151530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5301695"/>
        <c:crosses val="autoZero"/>
        <c:auto val="1"/>
        <c:lblAlgn val="ctr"/>
        <c:lblOffset val="100"/>
        <c:noMultiLvlLbl val="0"/>
      </c:catAx>
      <c:valAx>
        <c:axId val="1515301695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5306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Coût des pathologies (sous-population</a:t>
            </a:r>
            <a:r>
              <a:rPr lang="fr-FR" baseline="0"/>
              <a:t> B : </a:t>
            </a:r>
            <a:r>
              <a:rPr lang="fr-FR"/>
              <a:t>40-74 ans)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Annexe!$I$9</c:f>
              <c:strCache>
                <c:ptCount val="1"/>
                <c:pt idx="0">
                  <c:v>Coût intangible de morbidité (avec VAV)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(Annexe!$B$14,Annexe!$B$16,Annexe!$B$18,Annexe!$B$20,Annexe!$B$22,Annexe!$B$24,Annexe!$B$26,Annexe!$B$28,Annexe!$B$30,Annexe!$B$32,Annexe!$B$34)</c:f>
              <c:strCache>
                <c:ptCount val="11"/>
                <c:pt idx="0">
                  <c:v>Pathologie coronarienne</c:v>
                </c:pt>
                <c:pt idx="1">
                  <c:v>AVC ischémique</c:v>
                </c:pt>
                <c:pt idx="2">
                  <c:v>Cancer du sein</c:v>
                </c:pt>
                <c:pt idx="3">
                  <c:v>Cancer du côlon</c:v>
                </c:pt>
                <c:pt idx="4">
                  <c:v>Cancer de l'estomac</c:v>
                </c:pt>
                <c:pt idx="5">
                  <c:v>Cancer de la vessie</c:v>
                </c:pt>
                <c:pt idx="6">
                  <c:v>Cancer de l'œsophage</c:v>
                </c:pt>
                <c:pt idx="7">
                  <c:v>Diabète</c:v>
                </c:pt>
                <c:pt idx="8">
                  <c:v>BPCO</c:v>
                </c:pt>
                <c:pt idx="9">
                  <c:v>Alzheimer</c:v>
                </c:pt>
                <c:pt idx="10">
                  <c:v>Parkinson</c:v>
                </c:pt>
              </c:strCache>
            </c:strRef>
          </c:cat>
          <c:val>
            <c:numRef>
              <c:f>(Annexe!$I$40,Annexe!$I$42,Annexe!$I$44,Annexe!$I$46,Annexe!$I$48,Annexe!$I$50,Annexe!$I$52,Annexe!$I$54,Annexe!$I$56,Annexe!$I$58,Annexe!$I$60)</c:f>
              <c:numCache>
                <c:formatCode>#\ ##0\ "€"</c:formatCode>
                <c:ptCount val="11"/>
                <c:pt idx="0">
                  <c:v>25382.39929806759</c:v>
                </c:pt>
                <c:pt idx="1">
                  <c:v>165209.18482833775</c:v>
                </c:pt>
                <c:pt idx="2">
                  <c:v>89550.357078035289</c:v>
                </c:pt>
                <c:pt idx="3">
                  <c:v>57936.743320007634</c:v>
                </c:pt>
                <c:pt idx="4">
                  <c:v>31321.348547440142</c:v>
                </c:pt>
                <c:pt idx="5">
                  <c:v>61961.456148460587</c:v>
                </c:pt>
                <c:pt idx="6">
                  <c:v>35133.004502240357</c:v>
                </c:pt>
                <c:pt idx="7">
                  <c:v>149196.15514057263</c:v>
                </c:pt>
                <c:pt idx="8">
                  <c:v>63852.699033273871</c:v>
                </c:pt>
                <c:pt idx="9">
                  <c:v>112506.02297245529</c:v>
                </c:pt>
                <c:pt idx="10">
                  <c:v>157906.42229854487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7-4055-B322-4710483B8B4C}"/>
            </c:ext>
          </c:extLst>
        </c:ser>
        <c:ser>
          <c:idx val="1"/>
          <c:order val="1"/>
          <c:tx>
            <c:strRef>
              <c:f>Annexe!$N$9</c:f>
              <c:strCache>
                <c:ptCount val="1"/>
                <c:pt idx="0">
                  <c:v>Dépenses de santé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(Annexe!$B$14,Annexe!$B$16,Annexe!$B$18,Annexe!$B$20,Annexe!$B$22,Annexe!$B$24,Annexe!$B$26,Annexe!$B$28,Annexe!$B$30,Annexe!$B$32,Annexe!$B$34)</c:f>
              <c:strCache>
                <c:ptCount val="11"/>
                <c:pt idx="0">
                  <c:v>Pathologie coronarienne</c:v>
                </c:pt>
                <c:pt idx="1">
                  <c:v>AVC ischémique</c:v>
                </c:pt>
                <c:pt idx="2">
                  <c:v>Cancer du sein</c:v>
                </c:pt>
                <c:pt idx="3">
                  <c:v>Cancer du côlon</c:v>
                </c:pt>
                <c:pt idx="4">
                  <c:v>Cancer de l'estomac</c:v>
                </c:pt>
                <c:pt idx="5">
                  <c:v>Cancer de la vessie</c:v>
                </c:pt>
                <c:pt idx="6">
                  <c:v>Cancer de l'œsophage</c:v>
                </c:pt>
                <c:pt idx="7">
                  <c:v>Diabète</c:v>
                </c:pt>
                <c:pt idx="8">
                  <c:v>BPCO</c:v>
                </c:pt>
                <c:pt idx="9">
                  <c:v>Alzheimer</c:v>
                </c:pt>
                <c:pt idx="10">
                  <c:v>Parkinson</c:v>
                </c:pt>
              </c:strCache>
            </c:strRef>
          </c:cat>
          <c:val>
            <c:numRef>
              <c:f>(Annexe!$N$40,Annexe!$N$42,Annexe!$N$44,Annexe!$N$46,Annexe!$N$48,Annexe!$N$50,Annexe!$N$52,Annexe!$N$54,Annexe!$N$56,Annexe!$N$58,Annexe!$N$60)</c:f>
              <c:numCache>
                <c:formatCode>#\ ##0\ "€"</c:formatCode>
                <c:ptCount val="11"/>
                <c:pt idx="0">
                  <c:v>20937.831878696365</c:v>
                </c:pt>
                <c:pt idx="1">
                  <c:v>38946.327078413138</c:v>
                </c:pt>
                <c:pt idx="2">
                  <c:v>46968.351598059344</c:v>
                </c:pt>
                <c:pt idx="3">
                  <c:v>26715.952334288417</c:v>
                </c:pt>
                <c:pt idx="4">
                  <c:v>11709.740195349168</c:v>
                </c:pt>
                <c:pt idx="5">
                  <c:v>32837.637113209894</c:v>
                </c:pt>
                <c:pt idx="6">
                  <c:v>11180.657066637856</c:v>
                </c:pt>
                <c:pt idx="7">
                  <c:v>36514.116824496406</c:v>
                </c:pt>
                <c:pt idx="8">
                  <c:v>10405.406271741789</c:v>
                </c:pt>
                <c:pt idx="9">
                  <c:v>22747.957202560861</c:v>
                </c:pt>
                <c:pt idx="10">
                  <c:v>32152.452152241003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7-4055-B322-4710483B8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15306687"/>
        <c:axId val="1515301695"/>
      </c:barChart>
      <c:catAx>
        <c:axId val="151530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5301695"/>
        <c:crosses val="autoZero"/>
        <c:auto val="1"/>
        <c:lblAlgn val="ctr"/>
        <c:lblOffset val="100"/>
        <c:noMultiLvlLbl val="0"/>
      </c:catAx>
      <c:valAx>
        <c:axId val="1515301695"/>
        <c:scaling>
          <c:orientation val="minMax"/>
          <c:max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5306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633016</xdr:colOff>
      <xdr:row>0</xdr:row>
      <xdr:rowOff>0</xdr:rowOff>
    </xdr:from>
    <xdr:to>
      <xdr:col>10</xdr:col>
      <xdr:colOff>2617391</xdr:colOff>
      <xdr:row>14</xdr:row>
      <xdr:rowOff>40821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353220</xdr:colOff>
      <xdr:row>17</xdr:row>
      <xdr:rowOff>9525</xdr:rowOff>
    </xdr:from>
    <xdr:to>
      <xdr:col>18</xdr:col>
      <xdr:colOff>654844</xdr:colOff>
      <xdr:row>37</xdr:row>
      <xdr:rowOff>29766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214312</xdr:colOff>
      <xdr:row>37</xdr:row>
      <xdr:rowOff>121048</xdr:rowOff>
    </xdr:from>
    <xdr:to>
      <xdr:col>19</xdr:col>
      <xdr:colOff>495528</xdr:colOff>
      <xdr:row>55</xdr:row>
      <xdr:rowOff>79971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186788</xdr:colOff>
      <xdr:row>13</xdr:row>
      <xdr:rowOff>61851</xdr:rowOff>
    </xdr:from>
    <xdr:to>
      <xdr:col>23</xdr:col>
      <xdr:colOff>705096</xdr:colOff>
      <xdr:row>20</xdr:row>
      <xdr:rowOff>408214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272143</xdr:colOff>
      <xdr:row>35</xdr:row>
      <xdr:rowOff>160811</xdr:rowOff>
    </xdr:from>
    <xdr:to>
      <xdr:col>20</xdr:col>
      <xdr:colOff>643246</xdr:colOff>
      <xdr:row>44</xdr:row>
      <xdr:rowOff>212271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rategie.gouv.fr/publications/levaluation-socioeconomique-effets-de-sante-projets-dinvestissement-publi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zoomScale="80" zoomScaleNormal="80" workbookViewId="0">
      <selection activeCell="G12" sqref="G12"/>
    </sheetView>
  </sheetViews>
  <sheetFormatPr baseColWidth="10" defaultColWidth="11.42578125" defaultRowHeight="15" x14ac:dyDescent="0.25"/>
  <cols>
    <col min="2" max="2" width="128" customWidth="1"/>
  </cols>
  <sheetData>
    <row r="1" spans="2:3" ht="15.75" thickBot="1" x14ac:dyDescent="0.3"/>
    <row r="2" spans="2:3" x14ac:dyDescent="0.25">
      <c r="B2" s="5" t="s">
        <v>0</v>
      </c>
    </row>
    <row r="3" spans="2:3" ht="27.75" customHeight="1" x14ac:dyDescent="0.25">
      <c r="B3" s="27" t="s">
        <v>179</v>
      </c>
      <c r="C3" s="290"/>
    </row>
    <row r="4" spans="2:3" ht="9" customHeight="1" x14ac:dyDescent="0.25">
      <c r="B4" s="28"/>
    </row>
    <row r="5" spans="2:3" x14ac:dyDescent="0.25">
      <c r="B5" s="6" t="s">
        <v>1</v>
      </c>
    </row>
    <row r="6" spans="2:3" ht="69" customHeight="1" x14ac:dyDescent="0.25">
      <c r="B6" s="2" t="s">
        <v>186</v>
      </c>
    </row>
    <row r="7" spans="2:3" ht="17.25" customHeight="1" x14ac:dyDescent="0.25">
      <c r="B7" s="316" t="s">
        <v>185</v>
      </c>
    </row>
    <row r="8" spans="2:3" ht="35.25" customHeight="1" x14ac:dyDescent="0.25">
      <c r="B8" s="309" t="s">
        <v>182</v>
      </c>
      <c r="C8" s="290"/>
    </row>
    <row r="9" spans="2:3" ht="8.25" customHeight="1" x14ac:dyDescent="0.25">
      <c r="B9" s="2"/>
    </row>
    <row r="10" spans="2:3" ht="14.25" customHeight="1" x14ac:dyDescent="0.25">
      <c r="B10" s="7" t="s">
        <v>2</v>
      </c>
    </row>
    <row r="11" spans="2:3" ht="16.5" customHeight="1" x14ac:dyDescent="0.25">
      <c r="B11" s="3" t="s">
        <v>3</v>
      </c>
    </row>
    <row r="12" spans="2:3" ht="20.25" customHeight="1" x14ac:dyDescent="0.25">
      <c r="B12" s="27" t="s">
        <v>4</v>
      </c>
    </row>
    <row r="13" spans="2:3" ht="19.5" customHeight="1" x14ac:dyDescent="0.25">
      <c r="B13" s="27" t="s">
        <v>5</v>
      </c>
    </row>
    <row r="14" spans="2:3" ht="30.75" customHeight="1" x14ac:dyDescent="0.25">
      <c r="B14" s="2" t="s">
        <v>6</v>
      </c>
    </row>
    <row r="15" spans="2:3" ht="32.25" customHeight="1" x14ac:dyDescent="0.25">
      <c r="B15" s="2" t="s">
        <v>7</v>
      </c>
    </row>
    <row r="16" spans="2:3" ht="18" customHeight="1" x14ac:dyDescent="0.25">
      <c r="B16" s="2" t="s">
        <v>8</v>
      </c>
    </row>
    <row r="17" spans="2:3" ht="16.5" customHeight="1" x14ac:dyDescent="0.25">
      <c r="B17" s="2" t="s">
        <v>9</v>
      </c>
      <c r="C17" s="290"/>
    </row>
    <row r="18" spans="2:3" ht="16.5" customHeight="1" x14ac:dyDescent="0.25">
      <c r="B18" s="2" t="s">
        <v>10</v>
      </c>
    </row>
    <row r="19" spans="2:3" ht="46.5" customHeight="1" x14ac:dyDescent="0.25">
      <c r="B19" s="27" t="s">
        <v>11</v>
      </c>
    </row>
    <row r="20" spans="2:3" ht="15.75" customHeight="1" x14ac:dyDescent="0.25">
      <c r="B20" s="2" t="s">
        <v>12</v>
      </c>
    </row>
    <row r="21" spans="2:3" ht="32.25" customHeight="1" x14ac:dyDescent="0.25">
      <c r="B21" s="2" t="s">
        <v>13</v>
      </c>
    </row>
    <row r="22" spans="2:3" ht="16.5" customHeight="1" x14ac:dyDescent="0.25">
      <c r="B22" s="2" t="s">
        <v>14</v>
      </c>
    </row>
    <row r="23" spans="2:3" ht="48.75" customHeight="1" thickBot="1" x14ac:dyDescent="0.3">
      <c r="B23" s="4" t="s">
        <v>15</v>
      </c>
    </row>
    <row r="25" spans="2:3" x14ac:dyDescent="0.25">
      <c r="B25" s="99"/>
    </row>
    <row r="26" spans="2:3" ht="30" x14ac:dyDescent="0.25">
      <c r="B26" s="280" t="s">
        <v>16</v>
      </c>
    </row>
  </sheetData>
  <sheetProtection algorithmName="SHA-512" hashValue="egZrDBPcotmuwMNz7ROwrEdlhgKNbj4Rce1el9i3fKBmky2zRX24iCSyMkn9dmARKhD5GKWnH/9W8G7Il71Y5A==" saltValue="UIG4WKQSs86WGiNjbv1NVg==" spinCount="100000" sheet="1" objects="1" scenarios="1"/>
  <hyperlinks>
    <hyperlink ref="B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zoomScale="70" zoomScaleNormal="70" workbookViewId="0">
      <pane ySplit="17" topLeftCell="A18" activePane="bottomLeft" state="frozen"/>
      <selection pane="bottomLeft" activeCell="G15" sqref="G15"/>
    </sheetView>
  </sheetViews>
  <sheetFormatPr baseColWidth="10" defaultColWidth="11.42578125" defaultRowHeight="15" x14ac:dyDescent="0.25"/>
  <cols>
    <col min="1" max="1" width="2.5703125" customWidth="1"/>
    <col min="2" max="2" width="1" customWidth="1"/>
    <col min="3" max="3" width="57.140625" customWidth="1"/>
    <col min="4" max="4" width="33" customWidth="1"/>
    <col min="5" max="5" width="32.140625" customWidth="1"/>
    <col min="6" max="6" width="28.140625" customWidth="1"/>
    <col min="7" max="8" width="30.5703125" bestFit="1" customWidth="1"/>
    <col min="9" max="9" width="40.85546875" hidden="1" customWidth="1"/>
    <col min="10" max="10" width="16.28515625" hidden="1" customWidth="1"/>
    <col min="11" max="11" width="43.140625" style="15" customWidth="1"/>
    <col min="12" max="12" width="6.140625" customWidth="1"/>
  </cols>
  <sheetData>
    <row r="1" spans="1:16" x14ac:dyDescent="0.25">
      <c r="A1" s="1"/>
      <c r="B1" s="1"/>
      <c r="C1" s="318" t="s">
        <v>17</v>
      </c>
      <c r="D1" s="318"/>
      <c r="E1" s="318"/>
      <c r="F1" s="318"/>
      <c r="G1" s="318"/>
      <c r="H1" s="318"/>
      <c r="I1" s="318"/>
      <c r="J1" s="318"/>
      <c r="K1" s="318"/>
    </row>
    <row r="2" spans="1:16" ht="19.5" thickBot="1" x14ac:dyDescent="0.35">
      <c r="A2" s="1"/>
      <c r="B2" s="1"/>
      <c r="C2" s="30" t="s">
        <v>18</v>
      </c>
      <c r="D2" s="292"/>
      <c r="E2" s="287"/>
      <c r="F2" s="287"/>
      <c r="G2" s="287"/>
      <c r="H2" s="287"/>
      <c r="I2" s="287"/>
      <c r="J2" s="287"/>
      <c r="K2" s="57"/>
    </row>
    <row r="3" spans="1:16" s="1" customFormat="1" ht="29.25" customHeight="1" x14ac:dyDescent="0.25">
      <c r="C3" s="61"/>
      <c r="D3" s="66" t="s">
        <v>19</v>
      </c>
      <c r="E3" s="66" t="s">
        <v>20</v>
      </c>
      <c r="F3" s="53" t="s">
        <v>21</v>
      </c>
      <c r="H3" s="54"/>
      <c r="I3" s="40"/>
      <c r="J3" s="18"/>
      <c r="K3" s="57"/>
    </row>
    <row r="4" spans="1:16" s="1" customFormat="1" ht="24" x14ac:dyDescent="0.25">
      <c r="C4" s="62"/>
      <c r="D4" s="67" t="s">
        <v>170</v>
      </c>
      <c r="E4" s="67" t="s">
        <v>171</v>
      </c>
      <c r="F4" s="60" t="s">
        <v>22</v>
      </c>
      <c r="G4" s="291"/>
      <c r="H4" s="19"/>
      <c r="I4" s="41"/>
      <c r="J4" s="19"/>
      <c r="K4" s="57"/>
      <c r="L4" s="291"/>
    </row>
    <row r="5" spans="1:16" s="1" customFormat="1" x14ac:dyDescent="0.25">
      <c r="C5" s="306" t="s">
        <v>180</v>
      </c>
      <c r="D5" s="307">
        <f>'Paramètres et valeurs'!C9</f>
        <v>10000</v>
      </c>
      <c r="E5" s="307">
        <f>'Paramètres et valeurs'!D9</f>
        <v>10000</v>
      </c>
      <c r="F5" s="308">
        <f>D5+E5</f>
        <v>20000</v>
      </c>
      <c r="G5" s="291"/>
      <c r="H5" s="19"/>
      <c r="I5" s="41"/>
      <c r="J5" s="19"/>
      <c r="K5" s="57"/>
      <c r="L5" s="291"/>
    </row>
    <row r="6" spans="1:16" x14ac:dyDescent="0.25">
      <c r="A6" s="1"/>
      <c r="B6" s="1"/>
      <c r="C6" s="63" t="s">
        <v>23</v>
      </c>
      <c r="D6" s="68">
        <f>D21</f>
        <v>313995.84697443456</v>
      </c>
      <c r="E6" s="68">
        <f>E21</f>
        <v>8295663.7447351608</v>
      </c>
      <c r="F6" s="39">
        <f>+F21</f>
        <v>8609659.5917095952</v>
      </c>
      <c r="H6" s="19"/>
      <c r="I6" s="21"/>
      <c r="J6" s="19"/>
      <c r="K6" s="57"/>
      <c r="P6" s="303"/>
    </row>
    <row r="7" spans="1:16" s="50" customFormat="1" ht="15.75" customHeight="1" x14ac:dyDescent="0.25">
      <c r="C7" s="64" t="s">
        <v>24</v>
      </c>
      <c r="D7" s="72">
        <f>D24</f>
        <v>4999.9954390643315</v>
      </c>
      <c r="E7" s="72">
        <f t="shared" ref="E7:F7" si="0">E24</f>
        <v>148177.45642374674</v>
      </c>
      <c r="F7" s="72">
        <f t="shared" si="0"/>
        <v>153177.45186281108</v>
      </c>
      <c r="H7" s="52"/>
      <c r="I7" s="51"/>
      <c r="J7" s="52"/>
      <c r="K7" s="57"/>
    </row>
    <row r="8" spans="1:16" ht="15.75" thickBot="1" x14ac:dyDescent="0.3">
      <c r="A8" s="1"/>
      <c r="B8" s="1"/>
      <c r="C8" s="65" t="s">
        <v>25</v>
      </c>
      <c r="D8" s="69">
        <f>D30</f>
        <v>27372.377008597588</v>
      </c>
      <c r="E8" s="69">
        <f>E30</f>
        <v>503076.85938187037</v>
      </c>
      <c r="F8" s="38">
        <f>F30</f>
        <v>530449.23639046797</v>
      </c>
      <c r="H8" s="19"/>
      <c r="I8" s="21"/>
      <c r="J8" s="19"/>
      <c r="K8" s="57"/>
      <c r="P8" s="304"/>
    </row>
    <row r="9" spans="1:16" ht="15.75" hidden="1" thickBot="1" x14ac:dyDescent="0.3">
      <c r="A9" s="1"/>
      <c r="B9" s="1"/>
      <c r="C9" s="71" t="s">
        <v>26</v>
      </c>
      <c r="D9" s="74">
        <f>D8-D7</f>
        <v>22372.381569533256</v>
      </c>
      <c r="E9" s="74">
        <f t="shared" ref="E9:F9" si="1">E8-E7</f>
        <v>354899.4029581236</v>
      </c>
      <c r="F9" s="74">
        <f t="shared" si="1"/>
        <v>377271.78452765686</v>
      </c>
      <c r="H9" s="19"/>
      <c r="I9" s="21"/>
      <c r="J9" s="19"/>
      <c r="K9" s="57"/>
    </row>
    <row r="10" spans="1:16" ht="15.75" thickBot="1" x14ac:dyDescent="0.3">
      <c r="A10" s="1"/>
      <c r="B10" s="1"/>
      <c r="C10" s="302" t="s">
        <v>184</v>
      </c>
      <c r="D10" s="73">
        <f>D6+D7</f>
        <v>318995.8424134989</v>
      </c>
      <c r="E10" s="73">
        <f t="shared" ref="E10:F10" si="2">E6+E7</f>
        <v>8443841.2011589073</v>
      </c>
      <c r="F10" s="73">
        <f t="shared" si="2"/>
        <v>8762837.0435724054</v>
      </c>
      <c r="G10" s="32"/>
      <c r="H10" s="25"/>
      <c r="I10" s="25"/>
      <c r="J10" s="26"/>
      <c r="K10" s="57"/>
    </row>
    <row r="11" spans="1:16" s="1" customFormat="1" ht="15.75" thickBot="1" x14ac:dyDescent="0.3">
      <c r="C11" s="302" t="s">
        <v>169</v>
      </c>
      <c r="D11" s="70">
        <f>D6+D8</f>
        <v>341368.22398303216</v>
      </c>
      <c r="E11" s="70">
        <f t="shared" ref="E11:J11" si="3">E6+E8</f>
        <v>8798740.6041170321</v>
      </c>
      <c r="F11" s="49">
        <f>F6+F8</f>
        <v>9140108.8281000629</v>
      </c>
      <c r="G11" s="286"/>
      <c r="H11" s="55"/>
      <c r="I11" s="48">
        <f t="shared" si="3"/>
        <v>0</v>
      </c>
      <c r="J11" s="48">
        <f t="shared" si="3"/>
        <v>0</v>
      </c>
      <c r="K11" s="57"/>
    </row>
    <row r="12" spans="1:16" x14ac:dyDescent="0.25">
      <c r="A12" s="1"/>
      <c r="B12" s="1"/>
      <c r="C12" s="285"/>
      <c r="D12" s="285"/>
      <c r="E12" s="285"/>
      <c r="F12" s="287"/>
      <c r="G12" s="287"/>
      <c r="H12" s="287"/>
      <c r="I12" s="287"/>
      <c r="J12" s="287"/>
      <c r="K12" s="57"/>
    </row>
    <row r="13" spans="1:16" x14ac:dyDescent="0.25">
      <c r="A13" s="1"/>
      <c r="B13" s="1"/>
      <c r="C13" s="285"/>
      <c r="D13" s="285"/>
      <c r="E13" s="285"/>
      <c r="F13" s="289"/>
      <c r="G13" s="289"/>
      <c r="H13" s="289"/>
      <c r="I13" s="289"/>
      <c r="J13" s="289"/>
      <c r="K13" s="57"/>
    </row>
    <row r="14" spans="1:16" x14ac:dyDescent="0.25">
      <c r="A14" s="1"/>
      <c r="B14" s="1"/>
      <c r="C14" s="285"/>
      <c r="D14" s="285"/>
      <c r="E14" s="285"/>
      <c r="F14" s="289"/>
      <c r="G14" s="289"/>
      <c r="H14" s="289"/>
      <c r="I14" s="289"/>
      <c r="J14" s="289"/>
      <c r="K14" s="57"/>
    </row>
    <row r="15" spans="1:16" x14ac:dyDescent="0.25">
      <c r="A15" s="1"/>
      <c r="B15" s="1"/>
      <c r="C15" s="287"/>
      <c r="D15" s="287"/>
      <c r="E15" s="287"/>
      <c r="F15" s="287"/>
      <c r="G15" s="13"/>
      <c r="H15" s="287"/>
      <c r="I15" s="287"/>
      <c r="J15" s="287"/>
      <c r="K15" s="57"/>
    </row>
    <row r="16" spans="1:16" ht="18.75" x14ac:dyDescent="0.3">
      <c r="A16" s="1"/>
      <c r="B16" s="1"/>
      <c r="C16" s="31" t="s">
        <v>27</v>
      </c>
      <c r="D16" s="290"/>
    </row>
    <row r="17" spans="3:20" s="1" customFormat="1" ht="33.75" customHeight="1" x14ac:dyDescent="0.25">
      <c r="D17" s="44" t="s">
        <v>19</v>
      </c>
      <c r="E17" s="44" t="s">
        <v>20</v>
      </c>
      <c r="F17" s="44" t="s">
        <v>28</v>
      </c>
      <c r="G17" s="42" t="s">
        <v>29</v>
      </c>
      <c r="H17" s="42" t="s">
        <v>30</v>
      </c>
      <c r="I17" s="43" t="s">
        <v>31</v>
      </c>
      <c r="J17" s="43" t="s">
        <v>32</v>
      </c>
      <c r="K17" s="42" t="s">
        <v>33</v>
      </c>
    </row>
    <row r="18" spans="3:20" s="1" customFormat="1" ht="23.25" customHeight="1" x14ac:dyDescent="0.25">
      <c r="D18" s="45" t="s">
        <v>172</v>
      </c>
      <c r="E18" s="45" t="s">
        <v>171</v>
      </c>
      <c r="F18" s="45" t="s">
        <v>22</v>
      </c>
      <c r="G18" s="46" t="s">
        <v>173</v>
      </c>
      <c r="H18" s="46" t="s">
        <v>174</v>
      </c>
      <c r="I18" s="47" t="s">
        <v>34</v>
      </c>
      <c r="J18" s="47"/>
      <c r="K18" s="46" t="s">
        <v>22</v>
      </c>
    </row>
    <row r="19" spans="3:20" ht="15.75" x14ac:dyDescent="0.25">
      <c r="C19" s="319" t="s">
        <v>35</v>
      </c>
      <c r="D19" s="319"/>
      <c r="E19" s="319"/>
      <c r="F19" s="319"/>
      <c r="G19" s="319"/>
      <c r="H19" s="319"/>
      <c r="I19" s="319"/>
      <c r="J19" s="319"/>
      <c r="K19" s="319"/>
    </row>
    <row r="20" spans="3:20" s="1" customFormat="1" x14ac:dyDescent="0.25">
      <c r="C20" s="10" t="s">
        <v>36</v>
      </c>
      <c r="D20" s="17">
        <f>'Paramètres et valeurs'!C9*'Paramètres et valeurs'!C11*'Paramètres et valeurs'!C16*'Paramètres et valeurs'!C17</f>
        <v>9.1597388265587679E-2</v>
      </c>
      <c r="E20" s="17">
        <f>'Paramètres et valeurs'!D9*'Paramètres et valeurs'!D11*'Paramètres et valeurs'!D16*'Paramètres et valeurs'!D17</f>
        <v>2.4199719208679</v>
      </c>
      <c r="F20" s="16">
        <f>D20+E20</f>
        <v>2.5115693091334879</v>
      </c>
      <c r="G20" s="16"/>
      <c r="H20" s="16"/>
      <c r="I20" s="16" t="e">
        <f>'Paramètres et valeurs'!#REF!*'Paramètres et valeurs'!#REF!*'Paramètres et valeurs'!#REF!*'Paramètres et valeurs'!#REF!</f>
        <v>#REF!</v>
      </c>
      <c r="J20" s="16" t="e">
        <f>'Paramètres et valeurs'!#REF!*'Paramètres et valeurs'!#REF!*'Paramètres et valeurs'!#REF!*'Paramètres et valeurs'!#REF!</f>
        <v>#REF!</v>
      </c>
      <c r="K20" s="22"/>
    </row>
    <row r="21" spans="3:20" x14ac:dyDescent="0.25">
      <c r="C21" s="20" t="s">
        <v>37</v>
      </c>
      <c r="D21" s="13">
        <f>D20*'Paramètres et valeurs'!C18</f>
        <v>313995.84697443456</v>
      </c>
      <c r="E21" s="13">
        <f>E20*'Paramètres et valeurs'!D18</f>
        <v>8295663.7447351608</v>
      </c>
      <c r="F21" s="24">
        <f>D21+E21</f>
        <v>8609659.5917095952</v>
      </c>
      <c r="G21" s="13"/>
      <c r="H21" s="13"/>
      <c r="I21" s="13" t="e">
        <f>I20*'Paramètres et valeurs'!#REF!</f>
        <v>#REF!</v>
      </c>
      <c r="J21" s="13" t="e">
        <f>J20*'Paramètres et valeurs'!#REF!</f>
        <v>#REF!</v>
      </c>
    </row>
    <row r="23" spans="3:20" ht="16.5" thickBot="1" x14ac:dyDescent="0.3">
      <c r="C23" s="319" t="s">
        <v>38</v>
      </c>
      <c r="D23" s="319"/>
      <c r="E23" s="319"/>
      <c r="F23" s="319"/>
      <c r="G23" s="319"/>
      <c r="H23" s="319"/>
      <c r="I23" s="319"/>
      <c r="J23" s="319"/>
      <c r="K23" s="319"/>
      <c r="T23" s="291"/>
    </row>
    <row r="24" spans="3:20" x14ac:dyDescent="0.25">
      <c r="C24" s="78" t="s">
        <v>39</v>
      </c>
      <c r="D24" s="59">
        <f t="shared" ref="D24:E26" si="4">D36+D41+D46+D51+D56+D61+D66</f>
        <v>4999.9954390643315</v>
      </c>
      <c r="E24" s="59">
        <f t="shared" si="4"/>
        <v>148177.45642374674</v>
      </c>
      <c r="F24" s="59">
        <f>D24+E24</f>
        <v>153177.45186281108</v>
      </c>
      <c r="G24" s="79">
        <f t="shared" ref="G24:J24" si="5">G36+G41+G46+G51+G56+G61+G66</f>
        <v>3329.865874560272</v>
      </c>
      <c r="H24" s="79">
        <f t="shared" si="5"/>
        <v>97290.361553275841</v>
      </c>
      <c r="I24" s="59" t="e">
        <f t="shared" si="5"/>
        <v>#REF!</v>
      </c>
      <c r="J24" s="59" t="e">
        <f t="shared" si="5"/>
        <v>#REF!</v>
      </c>
      <c r="K24" s="80">
        <f t="shared" ref="K24:K32" si="6">G24+H24</f>
        <v>100620.22742783611</v>
      </c>
    </row>
    <row r="25" spans="3:20" s="35" customFormat="1" x14ac:dyDescent="0.25">
      <c r="C25" s="89" t="s">
        <v>40</v>
      </c>
      <c r="D25" s="90">
        <f t="shared" si="4"/>
        <v>3340.2591290081164</v>
      </c>
      <c r="E25" s="90">
        <f t="shared" si="4"/>
        <v>101774.18974094179</v>
      </c>
      <c r="F25" s="90">
        <f t="shared" ref="F25:F32" si="7">D25+E25</f>
        <v>105114.44886994991</v>
      </c>
      <c r="G25" s="90">
        <f t="shared" ref="G25:J25" si="8">G37+G42+G47+G52+G57+G62+G67</f>
        <v>1670.1295645040582</v>
      </c>
      <c r="H25" s="90">
        <f t="shared" si="8"/>
        <v>50887.094870470894</v>
      </c>
      <c r="I25" s="90" t="e">
        <f t="shared" si="8"/>
        <v>#REF!</v>
      </c>
      <c r="J25" s="90" t="e">
        <f t="shared" si="8"/>
        <v>#REF!</v>
      </c>
      <c r="K25" s="91">
        <f t="shared" si="6"/>
        <v>52557.224434974953</v>
      </c>
    </row>
    <row r="26" spans="3:20" s="35" customFormat="1" ht="15.75" thickBot="1" x14ac:dyDescent="0.3">
      <c r="C26" s="96" t="s">
        <v>41</v>
      </c>
      <c r="D26" s="97">
        <f t="shared" si="4"/>
        <v>1659.7363100562138</v>
      </c>
      <c r="E26" s="97">
        <f t="shared" si="4"/>
        <v>46403.266682804962</v>
      </c>
      <c r="F26" s="97">
        <f t="shared" si="7"/>
        <v>48063.002992861177</v>
      </c>
      <c r="G26" s="97">
        <f t="shared" ref="G26:J26" si="9">G38+G43+G48+G53+G58+G63+G68</f>
        <v>1659.7363100562138</v>
      </c>
      <c r="H26" s="97">
        <f t="shared" si="9"/>
        <v>46403.266682804962</v>
      </c>
      <c r="I26" s="97" t="e">
        <f t="shared" si="9"/>
        <v>#REF!</v>
      </c>
      <c r="J26" s="97" t="e">
        <f t="shared" si="9"/>
        <v>#REF!</v>
      </c>
      <c r="K26" s="98">
        <f t="shared" si="6"/>
        <v>48063.002992861177</v>
      </c>
    </row>
    <row r="27" spans="3:20" s="50" customFormat="1" hidden="1" x14ac:dyDescent="0.25">
      <c r="C27" s="75" t="s">
        <v>42</v>
      </c>
      <c r="D27" s="81">
        <f>D30-D24</f>
        <v>22372.381569533256</v>
      </c>
      <c r="E27" s="81">
        <f t="shared" ref="E27:K27" si="10">E30-E24</f>
        <v>354899.4029581236</v>
      </c>
      <c r="F27" s="81">
        <f t="shared" si="10"/>
        <v>377271.78452765686</v>
      </c>
      <c r="G27" s="81">
        <f t="shared" si="10"/>
        <v>13626.658865896386</v>
      </c>
      <c r="H27" s="81">
        <f t="shared" si="10"/>
        <v>211211.17998165335</v>
      </c>
      <c r="I27" s="81" t="e">
        <f t="shared" si="10"/>
        <v>#REF!</v>
      </c>
      <c r="J27" s="81" t="e">
        <f t="shared" si="10"/>
        <v>#REF!</v>
      </c>
      <c r="K27" s="82">
        <f t="shared" si="10"/>
        <v>224837.83884754975</v>
      </c>
    </row>
    <row r="28" spans="3:20" s="50" customFormat="1" hidden="1" x14ac:dyDescent="0.25">
      <c r="C28" s="76" t="s">
        <v>43</v>
      </c>
      <c r="D28" s="83">
        <f>D31-D25</f>
        <v>17491.445407273735</v>
      </c>
      <c r="E28" s="83">
        <f t="shared" ref="E28:K28" si="11">E31-E25</f>
        <v>287376.44595294056</v>
      </c>
      <c r="F28" s="83">
        <f t="shared" si="11"/>
        <v>304867.89136021433</v>
      </c>
      <c r="G28" s="83">
        <f t="shared" si="11"/>
        <v>8745.7227036368677</v>
      </c>
      <c r="H28" s="83">
        <f t="shared" si="11"/>
        <v>143688.22297647028</v>
      </c>
      <c r="I28" s="83" t="e">
        <f t="shared" si="11"/>
        <v>#REF!</v>
      </c>
      <c r="J28" s="83" t="e">
        <f t="shared" si="11"/>
        <v>#REF!</v>
      </c>
      <c r="K28" s="84">
        <f t="shared" si="11"/>
        <v>152433.94568010716</v>
      </c>
    </row>
    <row r="29" spans="3:20" s="50" customFormat="1" ht="15.75" hidden="1" thickBot="1" x14ac:dyDescent="0.3">
      <c r="C29" s="77" t="s">
        <v>44</v>
      </c>
      <c r="D29" s="85">
        <f>D32-D26</f>
        <v>4880.9361622595134</v>
      </c>
      <c r="E29" s="85">
        <f t="shared" ref="E29:K29" si="12">E32-E26</f>
        <v>67522.957005183038</v>
      </c>
      <c r="F29" s="85">
        <f t="shared" si="12"/>
        <v>72403.89316744254</v>
      </c>
      <c r="G29" s="85">
        <f t="shared" si="12"/>
        <v>4880.9361622595134</v>
      </c>
      <c r="H29" s="85">
        <f t="shared" si="12"/>
        <v>67522.957005183038</v>
      </c>
      <c r="I29" s="85" t="e">
        <f t="shared" si="12"/>
        <v>#REF!</v>
      </c>
      <c r="J29" s="85" t="e">
        <f t="shared" si="12"/>
        <v>#REF!</v>
      </c>
      <c r="K29" s="86">
        <f t="shared" si="12"/>
        <v>72403.89316744254</v>
      </c>
    </row>
    <row r="30" spans="3:20" x14ac:dyDescent="0.25">
      <c r="C30" s="78" t="s">
        <v>45</v>
      </c>
      <c r="D30" s="59">
        <f t="shared" ref="D30:J30" si="13">D36+D41+D46+D51+D56+D61+D66+D71+D76+D81+D86</f>
        <v>27372.377008597588</v>
      </c>
      <c r="E30" s="59">
        <f t="shared" si="13"/>
        <v>503076.85938187037</v>
      </c>
      <c r="F30" s="59">
        <f t="shared" si="7"/>
        <v>530449.23639046797</v>
      </c>
      <c r="G30" s="79">
        <f t="shared" si="13"/>
        <v>16956.524740456658</v>
      </c>
      <c r="H30" s="79">
        <f t="shared" si="13"/>
        <v>308501.54153492919</v>
      </c>
      <c r="I30" s="59" t="e">
        <f t="shared" si="13"/>
        <v>#REF!</v>
      </c>
      <c r="J30" s="59" t="e">
        <f t="shared" si="13"/>
        <v>#REF!</v>
      </c>
      <c r="K30" s="80">
        <f t="shared" si="6"/>
        <v>325458.06627538585</v>
      </c>
    </row>
    <row r="31" spans="3:20" s="35" customFormat="1" x14ac:dyDescent="0.25">
      <c r="C31" s="92" t="s">
        <v>46</v>
      </c>
      <c r="D31" s="87">
        <f>D37+D42+D47+D52+D57+D62+D67+D72+D77+D82+D87</f>
        <v>20831.704536281854</v>
      </c>
      <c r="E31" s="87">
        <f>E37+E42+E47+E52+E57+E62+E67+E72+E77+E82+E87</f>
        <v>389150.63569388236</v>
      </c>
      <c r="F31" s="87">
        <f t="shared" si="7"/>
        <v>409982.34023016423</v>
      </c>
      <c r="G31" s="87">
        <f t="shared" ref="G31:J31" si="14">G37+G42+G47+G52+G57+G62+G67+G72+G77+G82+G87</f>
        <v>10415.852268140927</v>
      </c>
      <c r="H31" s="87">
        <f t="shared" si="14"/>
        <v>194575.31784694118</v>
      </c>
      <c r="I31" s="87" t="e">
        <f t="shared" si="14"/>
        <v>#REF!</v>
      </c>
      <c r="J31" s="87" t="e">
        <f t="shared" si="14"/>
        <v>#REF!</v>
      </c>
      <c r="K31" s="88">
        <f t="shared" si="6"/>
        <v>204991.17011508212</v>
      </c>
    </row>
    <row r="32" spans="3:20" s="35" customFormat="1" ht="15.75" thickBot="1" x14ac:dyDescent="0.3">
      <c r="C32" s="93" t="s">
        <v>47</v>
      </c>
      <c r="D32" s="94">
        <f>D38+D43+D48+D53+D58+D63+D68+D73+D78+D83+D88</f>
        <v>6540.6724723157276</v>
      </c>
      <c r="E32" s="94">
        <f>E38+E43+E48+E53+E58+E63+E68+E73+E78+E83+E88</f>
        <v>113926.22368798799</v>
      </c>
      <c r="F32" s="94">
        <f t="shared" si="7"/>
        <v>120466.89616030372</v>
      </c>
      <c r="G32" s="94">
        <f t="shared" ref="G32:J32" si="15">G38+G43+G48+G53+G58+G63+G68+G73+G78+G83+G88</f>
        <v>6540.6724723157276</v>
      </c>
      <c r="H32" s="94">
        <f t="shared" si="15"/>
        <v>113926.22368798799</v>
      </c>
      <c r="I32" s="94" t="e">
        <f t="shared" si="15"/>
        <v>#REF!</v>
      </c>
      <c r="J32" s="94" t="e">
        <f t="shared" si="15"/>
        <v>#REF!</v>
      </c>
      <c r="K32" s="95">
        <f t="shared" si="6"/>
        <v>120466.89616030372</v>
      </c>
    </row>
    <row r="33" spans="3:18" x14ac:dyDescent="0.25">
      <c r="C33" s="56" t="s">
        <v>48</v>
      </c>
      <c r="D33" s="11"/>
      <c r="E33" s="11"/>
      <c r="F33" s="11"/>
      <c r="G33" s="22"/>
      <c r="H33" s="22"/>
      <c r="I33" s="11"/>
      <c r="J33" s="11"/>
      <c r="Q33" s="32"/>
    </row>
    <row r="34" spans="3:18" x14ac:dyDescent="0.25">
      <c r="C34" s="29" t="s">
        <v>49</v>
      </c>
      <c r="D34" s="29"/>
      <c r="E34" s="29"/>
      <c r="F34" s="29"/>
      <c r="G34" s="29"/>
      <c r="H34" s="29"/>
      <c r="I34" s="29"/>
      <c r="J34" s="29"/>
    </row>
    <row r="35" spans="3:18" x14ac:dyDescent="0.25">
      <c r="C35" s="8" t="s">
        <v>50</v>
      </c>
      <c r="D35" s="9">
        <f>'Paramètres et valeurs'!C9*'Paramètres et valeurs'!C11*'Paramètres et valeurs'!C23*'Paramètres et valeurs'!C24</f>
        <v>3.0256855845629965E-2</v>
      </c>
      <c r="E35" s="9">
        <f>'Paramètres et valeurs'!D9*'Paramètres et valeurs'!D11*'Paramètres et valeurs'!D23*'Paramètres et valeurs'!D24</f>
        <v>1.071827503628447</v>
      </c>
      <c r="F35" s="9">
        <f>D35+E35</f>
        <v>1.102084359474077</v>
      </c>
      <c r="G35" s="14">
        <f>'Paramètres et valeurs'!E9*'Paramètres et valeurs'!E11*'Paramètres et valeurs'!E23*'Paramètres et valeurs'!E24</f>
        <v>3.0256855845629965E-2</v>
      </c>
      <c r="H35" s="14">
        <f>'Paramètres et valeurs'!F9*'Paramètres et valeurs'!F11*'Paramètres et valeurs'!F23*'Paramètres et valeurs'!F24</f>
        <v>1.071827503628447</v>
      </c>
      <c r="I35" s="9" t="e">
        <f>'Paramètres et valeurs'!#REF!*'Paramètres et valeurs'!#REF!*'Paramètres et valeurs'!#REF!*'Paramètres et valeurs'!#REF!</f>
        <v>#REF!</v>
      </c>
      <c r="J35" s="9" t="e">
        <f>'Paramètres et valeurs'!#REF!*'Paramètres et valeurs'!#REF!*'Paramètres et valeurs'!#REF!*'Paramètres et valeurs'!#REF!</f>
        <v>#REF!</v>
      </c>
      <c r="K35" s="14">
        <f>G35+H35</f>
        <v>1.102084359474077</v>
      </c>
      <c r="R35" s="32"/>
    </row>
    <row r="36" spans="3:18" x14ac:dyDescent="0.25">
      <c r="C36" s="8" t="s">
        <v>51</v>
      </c>
      <c r="D36" s="12">
        <f>D35*('Paramètres et valeurs'!C25+'Paramètres et valeurs'!C26)</f>
        <v>1056.8031800087383</v>
      </c>
      <c r="E36" s="12">
        <f>E35*('Paramètres et valeurs'!D25+'Paramètres et valeurs'!D26)</f>
        <v>49647.297749683472</v>
      </c>
      <c r="F36" s="12">
        <f t="shared" ref="F36:F38" si="16">D36+E36</f>
        <v>50704.100929692213</v>
      </c>
      <c r="G36" s="23">
        <f>G35*('Paramètres et valeurs'!E25+'Paramètres et valeurs'!E26)</f>
        <v>845.15807044124483</v>
      </c>
      <c r="H36" s="23">
        <f>H35*('Paramètres et valeurs'!F25+'Paramètres et valeurs'!F26)</f>
        <v>36044.520911809355</v>
      </c>
      <c r="I36" s="12" t="e">
        <f>I35*('Paramètres et valeurs'!#REF!+'Paramètres et valeurs'!#REF!)</f>
        <v>#REF!</v>
      </c>
      <c r="J36" s="12" t="e">
        <f>J35*('Paramètres et valeurs'!#REF!+'Paramètres et valeurs'!#REF!)</f>
        <v>#REF!</v>
      </c>
      <c r="K36" s="23">
        <f t="shared" ref="K36:K88" si="17">G36+H36</f>
        <v>36889.678982250603</v>
      </c>
    </row>
    <row r="37" spans="3:18" s="35" customFormat="1" x14ac:dyDescent="0.25">
      <c r="C37" s="33" t="s">
        <v>52</v>
      </c>
      <c r="D37" s="34">
        <f>D35*('Paramètres et valeurs'!C26)</f>
        <v>423.29021913498707</v>
      </c>
      <c r="E37" s="34">
        <f>E35*('Paramètres et valeurs'!D26)</f>
        <v>27205.553675748233</v>
      </c>
      <c r="F37" s="34">
        <f t="shared" si="16"/>
        <v>27628.843894883219</v>
      </c>
      <c r="G37" s="34">
        <f>G35*('Paramètres et valeurs'!E26)</f>
        <v>211.64510956749353</v>
      </c>
      <c r="H37" s="34">
        <f>H35*('Paramètres et valeurs'!F26)</f>
        <v>13602.776837874117</v>
      </c>
      <c r="I37" s="34" t="e">
        <f>I35*('Paramètres et valeurs'!#REF!)</f>
        <v>#REF!</v>
      </c>
      <c r="J37" s="34" t="e">
        <f>J35*('Paramètres et valeurs'!#REF!)</f>
        <v>#REF!</v>
      </c>
      <c r="K37" s="24">
        <f t="shared" si="17"/>
        <v>13814.42194744161</v>
      </c>
    </row>
    <row r="38" spans="3:18" s="35" customFormat="1" x14ac:dyDescent="0.25">
      <c r="C38" s="33" t="s">
        <v>53</v>
      </c>
      <c r="D38" s="34">
        <f>D35*('Paramètres et valeurs'!C25)</f>
        <v>633.51296087375135</v>
      </c>
      <c r="E38" s="34">
        <f>E35*('Paramètres et valeurs'!D25)</f>
        <v>22441.744073935242</v>
      </c>
      <c r="F38" s="34">
        <f t="shared" si="16"/>
        <v>23075.257034808994</v>
      </c>
      <c r="G38" s="34">
        <f>G35*('Paramètres et valeurs'!E25)</f>
        <v>633.51296087375135</v>
      </c>
      <c r="H38" s="34">
        <f>H35*('Paramètres et valeurs'!F25)</f>
        <v>22441.744073935242</v>
      </c>
      <c r="I38" s="34" t="e">
        <f>I35*('Paramètres et valeurs'!#REF!)</f>
        <v>#REF!</v>
      </c>
      <c r="J38" s="34" t="e">
        <f>J35*('Paramètres et valeurs'!#REF!)</f>
        <v>#REF!</v>
      </c>
      <c r="K38" s="24">
        <f t="shared" si="17"/>
        <v>23075.257034808994</v>
      </c>
    </row>
    <row r="39" spans="3:18" x14ac:dyDescent="0.25">
      <c r="C39" s="29" t="s">
        <v>54</v>
      </c>
      <c r="D39" s="29"/>
      <c r="E39" s="29"/>
      <c r="F39" s="29"/>
      <c r="G39" s="29"/>
      <c r="H39" s="29"/>
      <c r="I39" s="29"/>
      <c r="J39" s="29"/>
      <c r="K39" s="58"/>
    </row>
    <row r="40" spans="3:18" x14ac:dyDescent="0.25">
      <c r="C40" s="8" t="s">
        <v>50</v>
      </c>
      <c r="D40" s="9">
        <f>'Paramètres et valeurs'!C9*'Paramètres et valeurs'!C11*'Paramètres et valeurs'!C32*'Paramètres et valeurs'!C33</f>
        <v>7.8848581157775263E-3</v>
      </c>
      <c r="E40" s="9">
        <f>'Paramètres et valeurs'!D9*'Paramètres et valeurs'!D11*'Paramètres et valeurs'!D32*'Paramètres et valeurs'!D33</f>
        <v>0.30207675813656665</v>
      </c>
      <c r="F40" s="9">
        <f>D40+E40</f>
        <v>0.3099616162523442</v>
      </c>
      <c r="G40" s="14">
        <f>'Paramètres et valeurs'!E9*'Paramètres et valeurs'!E11*'Paramètres et valeurs'!E32*'Paramètres et valeurs'!E33</f>
        <v>7.8848581157775263E-3</v>
      </c>
      <c r="H40" s="14">
        <f>'Paramètres et valeurs'!F9*'Paramètres et valeurs'!F11*'Paramètres et valeurs'!F32*'Paramètres et valeurs'!F33</f>
        <v>0.30207675813656665</v>
      </c>
      <c r="I40" s="9" t="e">
        <f>'Paramètres et valeurs'!#REF!*'Paramètres et valeurs'!#REF!*'Paramètres et valeurs'!#REF!*'Paramètres et valeurs'!#REF!</f>
        <v>#REF!</v>
      </c>
      <c r="J40" s="9" t="e">
        <f>'Paramètres et valeurs'!#REF!*'Paramètres et valeurs'!#REF!*'Paramètres et valeurs'!#REF!*'Paramètres et valeurs'!#REF!</f>
        <v>#REF!</v>
      </c>
      <c r="K40" s="14">
        <f t="shared" si="17"/>
        <v>0.3099616162523442</v>
      </c>
    </row>
    <row r="41" spans="3:18" x14ac:dyDescent="0.25">
      <c r="C41" s="8" t="s">
        <v>51</v>
      </c>
      <c r="D41" s="12">
        <f>D40*('Paramètres et valeurs'!C34+'Paramètres et valeurs'!C35)</f>
        <v>1553.4418010329116</v>
      </c>
      <c r="E41" s="12">
        <f>E40*('Paramètres et valeurs'!D34+'Paramètres et valeurs'!D35)</f>
        <v>61670.635192502537</v>
      </c>
      <c r="F41" s="12">
        <f t="shared" ref="F41:F43" si="18">D41+E41</f>
        <v>63224.076993535447</v>
      </c>
      <c r="G41" s="23">
        <f>G40*('Paramètres et valeurs'!E34+'Paramètres et valeurs'!E35)</f>
        <v>930.2640320884318</v>
      </c>
      <c r="H41" s="23">
        <f>H40*('Paramètres et valeurs'!F34+'Paramètres et valeurs'!F35)</f>
        <v>36717.707708837981</v>
      </c>
      <c r="I41" s="12" t="e">
        <f>I40*('Paramètres et valeurs'!#REF!+'Paramètres et valeurs'!#REF!)</f>
        <v>#REF!</v>
      </c>
      <c r="J41" s="12" t="e">
        <f>J40*('Paramètres et valeurs'!#REF!+'Paramètres et valeurs'!#REF!)</f>
        <v>#REF!</v>
      </c>
      <c r="K41" s="23">
        <f t="shared" si="17"/>
        <v>37647.971740926412</v>
      </c>
    </row>
    <row r="42" spans="3:18" s="35" customFormat="1" x14ac:dyDescent="0.25">
      <c r="C42" s="33" t="s">
        <v>52</v>
      </c>
      <c r="D42" s="34">
        <f>D40*('Paramètres et valeurs'!C35)</f>
        <v>1246.3555378889598</v>
      </c>
      <c r="E42" s="34">
        <f>E40*('Paramètres et valeurs'!D35)</f>
        <v>49905.85496732912</v>
      </c>
      <c r="F42" s="34">
        <f t="shared" si="18"/>
        <v>51152.210505218078</v>
      </c>
      <c r="G42" s="34">
        <f>G40*('Paramètres et valeurs'!E35)</f>
        <v>623.17776894447991</v>
      </c>
      <c r="H42" s="34">
        <f>H40*('Paramètres et valeurs'!F35)</f>
        <v>24952.92748366456</v>
      </c>
      <c r="I42" s="34" t="e">
        <f>I40*('Paramètres et valeurs'!#REF!)</f>
        <v>#REF!</v>
      </c>
      <c r="J42" s="34" t="e">
        <f>J40*('Paramètres et valeurs'!#REF!)</f>
        <v>#REF!</v>
      </c>
      <c r="K42" s="24">
        <f t="shared" si="17"/>
        <v>25576.105252609039</v>
      </c>
    </row>
    <row r="43" spans="3:18" s="35" customFormat="1" x14ac:dyDescent="0.25">
      <c r="C43" s="33" t="s">
        <v>53</v>
      </c>
      <c r="D43" s="34">
        <f>D40*('Paramètres et valeurs'!C34)</f>
        <v>307.08626314395184</v>
      </c>
      <c r="E43" s="34">
        <f>E40*('Paramètres et valeurs'!D34)</f>
        <v>11764.780225173421</v>
      </c>
      <c r="F43" s="34">
        <f t="shared" si="18"/>
        <v>12071.866488317373</v>
      </c>
      <c r="G43" s="34">
        <f>G40*('Paramètres et valeurs'!E34)</f>
        <v>307.08626314395184</v>
      </c>
      <c r="H43" s="34">
        <f>H40*('Paramètres et valeurs'!F34)</f>
        <v>11764.780225173421</v>
      </c>
      <c r="I43" s="34" t="e">
        <f>I40*('Paramètres et valeurs'!#REF!)</f>
        <v>#REF!</v>
      </c>
      <c r="J43" s="34" t="e">
        <f>J40*('Paramètres et valeurs'!#REF!)</f>
        <v>#REF!</v>
      </c>
      <c r="K43" s="24">
        <f t="shared" si="17"/>
        <v>12071.866488317373</v>
      </c>
    </row>
    <row r="44" spans="3:18" x14ac:dyDescent="0.25">
      <c r="C44" s="29" t="s">
        <v>55</v>
      </c>
      <c r="D44" s="29"/>
      <c r="E44" s="29"/>
      <c r="F44" s="29"/>
      <c r="G44" s="29"/>
      <c r="H44" s="29"/>
      <c r="I44" s="29"/>
      <c r="J44" s="29"/>
      <c r="K44" s="58"/>
    </row>
    <row r="45" spans="3:18" x14ac:dyDescent="0.25">
      <c r="C45" s="8" t="s">
        <v>50</v>
      </c>
      <c r="D45" s="9">
        <f>'Paramètres et valeurs'!C9*'Paramètres et valeurs'!C11*'Paramètres et valeurs'!C41*'Paramètres et valeurs'!C42</f>
        <v>1.2686621004566207E-2</v>
      </c>
      <c r="E45" s="9">
        <f>'Paramètres et valeurs'!D9*'Paramètres et valeurs'!D11*'Paramètres et valeurs'!D41*'Paramètres et valeurs'!D42</f>
        <v>0.1518597259812994</v>
      </c>
      <c r="F45" s="9">
        <f>D45+E45</f>
        <v>0.16454634698586562</v>
      </c>
      <c r="G45" s="14">
        <f>'Paramètres et valeurs'!E9*'Paramètres et valeurs'!E11*'Paramètres et valeurs'!E41*'Paramètres et valeurs'!E42</f>
        <v>1.2686621004566207E-2</v>
      </c>
      <c r="H45" s="14">
        <f>'Paramètres et valeurs'!F9*'Paramètres et valeurs'!F11*'Paramètres et valeurs'!F41*'Paramètres et valeurs'!F42</f>
        <v>0.1518597259812994</v>
      </c>
      <c r="I45" s="9" t="e">
        <f>'Paramètres et valeurs'!#REF!*'Paramètres et valeurs'!#REF!*'Paramètres et valeurs'!#REF!*'Paramètres et valeurs'!#REF!</f>
        <v>#REF!</v>
      </c>
      <c r="J45" s="9" t="e">
        <f>'Paramètres et valeurs'!#REF!*'Paramètres et valeurs'!#REF!*'Paramètres et valeurs'!#REF!*'Paramètres et valeurs'!#REF!</f>
        <v>#REF!</v>
      </c>
      <c r="K45" s="14">
        <f t="shared" si="17"/>
        <v>0.16454634698586562</v>
      </c>
    </row>
    <row r="46" spans="3:18" x14ac:dyDescent="0.25">
      <c r="C46" s="8" t="s">
        <v>51</v>
      </c>
      <c r="D46" s="12">
        <f>D45*('Paramètres et valeurs'!C43+'Paramètres et valeurs'!C44)</f>
        <v>1983.2945084909868</v>
      </c>
      <c r="E46" s="12">
        <f>E45*('Paramètres et valeurs'!D43+'Paramètres et valeurs'!D44)</f>
        <v>20731.693690872573</v>
      </c>
      <c r="F46" s="12">
        <f t="shared" ref="F46:F48" si="19">D46+E46</f>
        <v>22714.988199363561</v>
      </c>
      <c r="G46" s="23">
        <f>G45*('Paramètres et valeurs'!E43+'Paramètres et valeurs'!E44)</f>
        <v>1289.5820922123885</v>
      </c>
      <c r="H46" s="23">
        <f>H45*('Paramètres et valeurs'!F43+'Paramètres et valeurs'!F44)</f>
        <v>13932.147347173595</v>
      </c>
      <c r="I46" s="12" t="e">
        <f>I45*('Paramètres et valeurs'!#REF!+'Paramètres et valeurs'!#REF!)</f>
        <v>#REF!</v>
      </c>
      <c r="J46" s="12" t="e">
        <f>J45*('Paramètres et valeurs'!#REF!+'Paramètres et valeurs'!#REF!)</f>
        <v>#REF!</v>
      </c>
      <c r="K46" s="23">
        <f t="shared" si="17"/>
        <v>15221.729439385985</v>
      </c>
    </row>
    <row r="47" spans="3:18" s="35" customFormat="1" x14ac:dyDescent="0.25">
      <c r="C47" s="33" t="s">
        <v>52</v>
      </c>
      <c r="D47" s="34">
        <f>D45*('Paramètres et valeurs'!C44)</f>
        <v>1387.4248325571962</v>
      </c>
      <c r="E47" s="34">
        <f>E45*('Paramètres et valeurs'!D44)</f>
        <v>13599.092687397955</v>
      </c>
      <c r="F47" s="34">
        <f t="shared" si="19"/>
        <v>14986.517519955152</v>
      </c>
      <c r="G47" s="34">
        <f>G45*('Paramètres et valeurs'!E44)</f>
        <v>693.71241627859808</v>
      </c>
      <c r="H47" s="34">
        <f>H45*('Paramètres et valeurs'!F44)</f>
        <v>6799.5463436989776</v>
      </c>
      <c r="I47" s="34" t="e">
        <f>I45*('Paramètres et valeurs'!#REF!)</f>
        <v>#REF!</v>
      </c>
      <c r="J47" s="34" t="e">
        <f>J45*('Paramètres et valeurs'!#REF!)</f>
        <v>#REF!</v>
      </c>
      <c r="K47" s="24">
        <f t="shared" si="17"/>
        <v>7493.2587599775761</v>
      </c>
    </row>
    <row r="48" spans="3:18" s="35" customFormat="1" x14ac:dyDescent="0.25">
      <c r="C48" s="33" t="s">
        <v>53</v>
      </c>
      <c r="D48" s="34">
        <f>D45*('Paramètres et valeurs'!C43)</f>
        <v>595.8696759337904</v>
      </c>
      <c r="E48" s="34">
        <f>E45*('Paramètres et valeurs'!D43)</f>
        <v>7132.6010034746178</v>
      </c>
      <c r="F48" s="34">
        <f t="shared" si="19"/>
        <v>7728.4706794084086</v>
      </c>
      <c r="G48" s="34">
        <f>G45*('Paramètres et valeurs'!E43)</f>
        <v>595.8696759337904</v>
      </c>
      <c r="H48" s="34">
        <f>H45*('Paramètres et valeurs'!F43)</f>
        <v>7132.6010034746178</v>
      </c>
      <c r="I48" s="34" t="e">
        <f>I45*('Paramètres et valeurs'!#REF!)</f>
        <v>#REF!</v>
      </c>
      <c r="J48" s="34" t="e">
        <f>J45*('Paramètres et valeurs'!#REF!)</f>
        <v>#REF!</v>
      </c>
      <c r="K48" s="24">
        <f t="shared" si="17"/>
        <v>7728.4706794084086</v>
      </c>
    </row>
    <row r="49" spans="3:11" x14ac:dyDescent="0.25">
      <c r="C49" s="29" t="s">
        <v>56</v>
      </c>
      <c r="D49" s="29"/>
      <c r="E49" s="29"/>
      <c r="F49" s="29"/>
      <c r="G49" s="29"/>
      <c r="H49" s="29"/>
      <c r="I49" s="29"/>
      <c r="J49" s="29"/>
      <c r="K49" s="58"/>
    </row>
    <row r="50" spans="3:11" x14ac:dyDescent="0.25">
      <c r="C50" s="8" t="s">
        <v>50</v>
      </c>
      <c r="D50" s="9">
        <f>'Paramètres et valeurs'!C9*'Paramètres et valeurs'!C11*'Paramètres et valeurs'!C50*'Paramètres et valeurs'!C51</f>
        <v>3.2628175532826678E-3</v>
      </c>
      <c r="E50" s="9">
        <f>'Paramètres et valeurs'!D9*'Paramètres et valeurs'!D11*'Paramètres et valeurs'!D50*'Paramètres et valeurs'!D51</f>
        <v>0.11460315265726026</v>
      </c>
      <c r="F50" s="9">
        <f>D50+E50</f>
        <v>0.11786597021054293</v>
      </c>
      <c r="G50" s="14">
        <f>'Paramètres et valeurs'!E9*'Paramètres et valeurs'!E11*'Paramètres et valeurs'!E50*'Paramètres et valeurs'!E51</f>
        <v>3.2628175532826678E-3</v>
      </c>
      <c r="H50" s="14">
        <f>'Paramètres et valeurs'!F9*'Paramètres et valeurs'!F11*'Paramètres et valeurs'!F50*'Paramètres et valeurs'!F51</f>
        <v>0.11460315265726026</v>
      </c>
      <c r="I50" s="9" t="e">
        <f>'Paramètres et valeurs'!#REF!*'Paramètres et valeurs'!#REF!*'Paramètres et valeurs'!#REF!*'Paramètres et valeurs'!#REF!</f>
        <v>#REF!</v>
      </c>
      <c r="J50" s="9" t="e">
        <f>'Paramètres et valeurs'!#REF!*'Paramètres et valeurs'!#REF!*'Paramètres et valeurs'!#REF!*'Paramètres et valeurs'!#REF!</f>
        <v>#REF!</v>
      </c>
      <c r="K50" s="14">
        <f t="shared" si="17"/>
        <v>0.11786597021054293</v>
      </c>
    </row>
    <row r="51" spans="3:11" x14ac:dyDescent="0.25">
      <c r="C51" s="8" t="s">
        <v>51</v>
      </c>
      <c r="D51" s="12">
        <f>D50*('Paramètres et valeurs'!C52+'Paramètres et valeurs'!C53)</f>
        <v>298.98967252691273</v>
      </c>
      <c r="E51" s="12">
        <f>E50*('Paramètres et valeurs'!D52+'Paramètres et valeurs'!D53)</f>
        <v>9701.4658029178827</v>
      </c>
      <c r="F51" s="12">
        <f t="shared" ref="F51:F53" si="20">D51+E51</f>
        <v>10000.455475444796</v>
      </c>
      <c r="G51" s="23">
        <f>G50*('Paramètres et valeurs'!E52+'Paramètres et valeurs'!E53)</f>
        <v>193.07947537794601</v>
      </c>
      <c r="H51" s="23">
        <f>H50*('Paramètres et valeurs'!F52+'Paramètres et valeurs'!F53)</f>
        <v>6381.5990833342139</v>
      </c>
      <c r="I51" s="12" t="e">
        <f>I50*('Paramètres et valeurs'!#REF!+'Paramètres et valeurs'!#REF!)</f>
        <v>#REF!</v>
      </c>
      <c r="J51" s="12" t="e">
        <f>J50*('Paramètres et valeurs'!#REF!+'Paramètres et valeurs'!#REF!)</f>
        <v>#REF!</v>
      </c>
      <c r="K51" s="23">
        <f t="shared" si="17"/>
        <v>6574.6785587121603</v>
      </c>
    </row>
    <row r="52" spans="3:11" s="35" customFormat="1" x14ac:dyDescent="0.25">
      <c r="C52" s="33" t="s">
        <v>52</v>
      </c>
      <c r="D52" s="34">
        <f>D50*('Paramètres et valeurs'!C53)</f>
        <v>211.82039429793343</v>
      </c>
      <c r="E52" s="34">
        <f>E50*('Paramètres et valeurs'!D53)</f>
        <v>6639.7334391673385</v>
      </c>
      <c r="F52" s="34">
        <f t="shared" si="20"/>
        <v>6851.553833465272</v>
      </c>
      <c r="G52" s="34">
        <f>G50*('Paramètres et valeurs'!E53)</f>
        <v>105.91019714896672</v>
      </c>
      <c r="H52" s="34">
        <f>H50*('Paramètres et valeurs'!F53)</f>
        <v>3319.8667195836692</v>
      </c>
      <c r="I52" s="34" t="e">
        <f>I50*('Paramètres et valeurs'!#REF!)</f>
        <v>#REF!</v>
      </c>
      <c r="J52" s="34" t="e">
        <f>J50*('Paramètres et valeurs'!#REF!)</f>
        <v>#REF!</v>
      </c>
      <c r="K52" s="24">
        <f t="shared" si="17"/>
        <v>3425.776916732636</v>
      </c>
    </row>
    <row r="53" spans="3:11" s="35" customFormat="1" x14ac:dyDescent="0.25">
      <c r="C53" s="33" t="s">
        <v>53</v>
      </c>
      <c r="D53" s="34">
        <f>D50*('Paramètres et valeurs'!C52)</f>
        <v>87.169278228979309</v>
      </c>
      <c r="E53" s="34">
        <f>E50*('Paramètres et valeurs'!D52)</f>
        <v>3061.7323637505442</v>
      </c>
      <c r="F53" s="34">
        <f t="shared" si="20"/>
        <v>3148.9016419795234</v>
      </c>
      <c r="G53" s="34">
        <f>G50*('Paramètres et valeurs'!E52)</f>
        <v>87.169278228979309</v>
      </c>
      <c r="H53" s="34">
        <f>H50*('Paramètres et valeurs'!F52)</f>
        <v>3061.7323637505442</v>
      </c>
      <c r="I53" s="34" t="e">
        <f>I50*('Paramètres et valeurs'!#REF!)</f>
        <v>#REF!</v>
      </c>
      <c r="J53" s="34" t="e">
        <f>J50*('Paramètres et valeurs'!#REF!)</f>
        <v>#REF!</v>
      </c>
      <c r="K53" s="24">
        <f t="shared" si="17"/>
        <v>3148.9016419795234</v>
      </c>
    </row>
    <row r="54" spans="3:11" x14ac:dyDescent="0.25">
      <c r="C54" s="29" t="s">
        <v>57</v>
      </c>
      <c r="D54" s="29"/>
      <c r="E54" s="29"/>
      <c r="F54" s="29"/>
      <c r="G54" s="29"/>
      <c r="H54" s="29"/>
      <c r="I54" s="29"/>
      <c r="J54" s="29"/>
      <c r="K54" s="58"/>
    </row>
    <row r="55" spans="3:11" x14ac:dyDescent="0.25">
      <c r="C55" s="8" t="s">
        <v>50</v>
      </c>
      <c r="D55" s="9">
        <f>'Paramètres et valeurs'!C9*'Paramètres et valeurs'!C11*'Paramètres et valeurs'!C59*'Paramètres et valeurs'!C60</f>
        <v>5.7164699423552028E-4</v>
      </c>
      <c r="E55" s="9">
        <f>'Paramètres et valeurs'!D9*'Paramètres et valeurs'!D11*'Paramètres et valeurs'!D59*'Paramètres et valeurs'!D60</f>
        <v>1.3017385180649108E-2</v>
      </c>
      <c r="F55" s="9">
        <f>D55+E55</f>
        <v>1.3589032174884629E-2</v>
      </c>
      <c r="G55" s="14">
        <f>'Paramètres et valeurs'!E9*'Paramètres et valeurs'!E11*'Paramètres et valeurs'!E59*'Paramètres et valeurs'!E60</f>
        <v>5.7164699423552028E-4</v>
      </c>
      <c r="H55" s="14">
        <f>'Paramètres et valeurs'!F9*'Paramètres et valeurs'!F11*'Paramètres et valeurs'!F59*'Paramètres et valeurs'!F60</f>
        <v>1.3017385180649108E-2</v>
      </c>
      <c r="I55" s="9" t="e">
        <f>'Paramètres et valeurs'!#REF!*'Paramètres et valeurs'!#REF!*'Paramètres et valeurs'!#REF!*'Paramètres et valeurs'!#REF!</f>
        <v>#REF!</v>
      </c>
      <c r="J55" s="9" t="e">
        <f>'Paramètres et valeurs'!#REF!*'Paramètres et valeurs'!#REF!*'Paramètres et valeurs'!#REF!*'Paramètres et valeurs'!#REF!</f>
        <v>#REF!</v>
      </c>
      <c r="K55" s="14">
        <f t="shared" si="17"/>
        <v>1.3589032174884629E-2</v>
      </c>
    </row>
    <row r="56" spans="3:11" x14ac:dyDescent="0.25">
      <c r="C56" s="8" t="s">
        <v>51</v>
      </c>
      <c r="D56" s="12">
        <f>D55*('Paramètres et valeurs'!C61+'Paramètres et valeurs'!C62)</f>
        <v>22.069486651033504</v>
      </c>
      <c r="E56" s="12">
        <f>E55*('Paramètres et valeurs'!D61+'Paramètres et valeurs'!D62)</f>
        <v>560.15225690758223</v>
      </c>
      <c r="F56" s="12">
        <f t="shared" ref="F56:F58" si="21">D56+E56</f>
        <v>582.22174355861569</v>
      </c>
      <c r="G56" s="23">
        <f>G55*('Paramètres et valeurs'!E61+'Paramètres et valeurs'!E62)</f>
        <v>14.381662218491856</v>
      </c>
      <c r="H56" s="23">
        <f>H55*('Paramètres et valeurs'!F61+'Paramètres et valeurs'!F62)</f>
        <v>356.29122769788586</v>
      </c>
      <c r="I56" s="12" t="e">
        <f>I55*('Paramètres et valeurs'!#REF!+'Paramètres et valeurs'!#REF!)</f>
        <v>#REF!</v>
      </c>
      <c r="J56" s="12" t="e">
        <f>J55*('Paramètres et valeurs'!#REF!+'Paramètres et valeurs'!#REF!)</f>
        <v>#REF!</v>
      </c>
      <c r="K56" s="23">
        <f t="shared" si="17"/>
        <v>370.6728899163777</v>
      </c>
    </row>
    <row r="57" spans="3:11" s="35" customFormat="1" x14ac:dyDescent="0.25">
      <c r="C57" s="33" t="s">
        <v>52</v>
      </c>
      <c r="D57" s="34">
        <f>D55*('Paramètres et valeurs'!C62)</f>
        <v>15.375648865083297</v>
      </c>
      <c r="E57" s="34">
        <f>E55*('Paramètres et valeurs'!D62)</f>
        <v>407.72205841939279</v>
      </c>
      <c r="F57" s="34">
        <f t="shared" si="21"/>
        <v>423.09770728447609</v>
      </c>
      <c r="G57" s="34">
        <f>G55*('Paramètres et valeurs'!E62)</f>
        <v>7.6878244325416487</v>
      </c>
      <c r="H57" s="34">
        <f>H55*('Paramètres et valeurs'!F62)</f>
        <v>203.8610292096964</v>
      </c>
      <c r="I57" s="34" t="e">
        <f>I55*('Paramètres et valeurs'!#REF!)</f>
        <v>#REF!</v>
      </c>
      <c r="J57" s="34" t="e">
        <f>J55*('Paramètres et valeurs'!#REF!)</f>
        <v>#REF!</v>
      </c>
      <c r="K57" s="24">
        <f t="shared" si="17"/>
        <v>211.54885364223804</v>
      </c>
    </row>
    <row r="58" spans="3:11" s="35" customFormat="1" x14ac:dyDescent="0.25">
      <c r="C58" s="33" t="s">
        <v>53</v>
      </c>
      <c r="D58" s="34">
        <f>D55*('Paramètres et valeurs'!C61)</f>
        <v>6.6938377859502056</v>
      </c>
      <c r="E58" s="34">
        <f>E55*('Paramètres et valeurs'!D61)</f>
        <v>152.43019848818946</v>
      </c>
      <c r="F58" s="34">
        <f t="shared" si="21"/>
        <v>159.12403627413966</v>
      </c>
      <c r="G58" s="34">
        <f>G55*('Paramètres et valeurs'!E61)</f>
        <v>6.6938377859502056</v>
      </c>
      <c r="H58" s="34">
        <f>H55*('Paramètres et valeurs'!F61)</f>
        <v>152.43019848818946</v>
      </c>
      <c r="I58" s="34" t="e">
        <f>I55*('Paramètres et valeurs'!#REF!)</f>
        <v>#REF!</v>
      </c>
      <c r="J58" s="34" t="e">
        <f>J55*('Paramètres et valeurs'!#REF!)</f>
        <v>#REF!</v>
      </c>
      <c r="K58" s="24">
        <f t="shared" si="17"/>
        <v>159.12403627413966</v>
      </c>
    </row>
    <row r="59" spans="3:11" x14ac:dyDescent="0.25">
      <c r="C59" s="29" t="s">
        <v>58</v>
      </c>
      <c r="D59" s="29"/>
      <c r="E59" s="29"/>
      <c r="F59" s="29"/>
      <c r="G59" s="29"/>
      <c r="H59" s="29"/>
      <c r="I59" s="29"/>
      <c r="J59" s="29"/>
      <c r="K59" s="58"/>
    </row>
    <row r="60" spans="3:11" x14ac:dyDescent="0.25">
      <c r="C60" s="8" t="s">
        <v>50</v>
      </c>
      <c r="D60" s="9">
        <f>'Paramètres et valeurs'!C9*'Paramètres et valeurs'!C11*'Paramètres et valeurs'!C68*'Paramètres et valeurs'!C69</f>
        <v>8.3547945205479429E-4</v>
      </c>
      <c r="E60" s="9">
        <f>'Paramètres et valeurs'!D9*'Paramètres et valeurs'!D11*'Paramètres et valeurs'!D68*'Paramètres et valeurs'!D69</f>
        <v>4.3589791235659217E-2</v>
      </c>
      <c r="F60" s="9">
        <f>D60+E60</f>
        <v>4.4425270687714014E-2</v>
      </c>
      <c r="G60" s="14">
        <f>'Paramètres et valeurs'!E9*'Paramètres et valeurs'!E11*'Paramètres et valeurs'!E68*'Paramètres et valeurs'!E69</f>
        <v>8.3547945205479429E-4</v>
      </c>
      <c r="H60" s="14">
        <f>'Paramètres et valeurs'!F9*'Paramètres et valeurs'!F11*'Paramètres et valeurs'!F68*'Paramètres et valeurs'!F69</f>
        <v>4.3589791235659217E-2</v>
      </c>
      <c r="I60" s="9" t="e">
        <f>'Paramètres et valeurs'!#REF!*'Paramètres et valeurs'!#REF!*'Paramètres et valeurs'!#REF!*'Paramètres et valeurs'!#REF!</f>
        <v>#REF!</v>
      </c>
      <c r="J60" s="9" t="e">
        <f>'Paramètres et valeurs'!#REF!*'Paramètres et valeurs'!#REF!*'Paramètres et valeurs'!#REF!*'Paramètres et valeurs'!#REF!</f>
        <v>#REF!</v>
      </c>
      <c r="K60" s="14">
        <f t="shared" si="17"/>
        <v>4.4425270687714014E-2</v>
      </c>
    </row>
    <row r="61" spans="3:11" x14ac:dyDescent="0.25">
      <c r="C61" s="8" t="s">
        <v>51</v>
      </c>
      <c r="D61" s="12">
        <f>D60*('Paramètres et valeurs'!C70+'Paramètres et valeurs'!C71)</f>
        <v>78.389320689860995</v>
      </c>
      <c r="E61" s="12">
        <f>E60*('Paramètres et valeurs'!D70+'Paramètres et valeurs'!D71)</f>
        <v>4132.272684606005</v>
      </c>
      <c r="F61" s="12">
        <f t="shared" ref="F61:F63" si="22">D61+E61</f>
        <v>4210.662005295866</v>
      </c>
      <c r="G61" s="23">
        <f>G60*('Paramètres et valeurs'!E70+'Paramètres et valeurs'!E71)</f>
        <v>52.912245875989882</v>
      </c>
      <c r="H61" s="23">
        <f>H60*('Paramètres et valeurs'!F70+'Paramètres et valeurs'!F71)</f>
        <v>2781.8292155215795</v>
      </c>
      <c r="I61" s="12" t="e">
        <f>I60*('Paramètres et valeurs'!#REF!+'Paramètres et valeurs'!#REF!)</f>
        <v>#REF!</v>
      </c>
      <c r="J61" s="12" t="e">
        <f>J60*('Paramètres et valeurs'!#REF!+'Paramètres et valeurs'!#REF!)</f>
        <v>#REF!</v>
      </c>
      <c r="K61" s="23">
        <f t="shared" si="17"/>
        <v>2834.7414613975693</v>
      </c>
    </row>
    <row r="62" spans="3:11" s="35" customFormat="1" x14ac:dyDescent="0.25">
      <c r="C62" s="33" t="s">
        <v>52</v>
      </c>
      <c r="D62" s="34">
        <f>D60*('Paramètres et valeurs'!C71)</f>
        <v>50.954149627742218</v>
      </c>
      <c r="E62" s="34">
        <f>E60*('Paramètres et valeurs'!D71)</f>
        <v>2700.8869381688501</v>
      </c>
      <c r="F62" s="34">
        <f t="shared" si="22"/>
        <v>2751.8410877965921</v>
      </c>
      <c r="G62" s="34">
        <f>G60*('Paramètres et valeurs'!E71)</f>
        <v>25.477074813871109</v>
      </c>
      <c r="H62" s="34">
        <f>H60*('Paramètres et valeurs'!F71)</f>
        <v>1350.443469084425</v>
      </c>
      <c r="I62" s="34" t="e">
        <f>I60*('Paramètres et valeurs'!#REF!)</f>
        <v>#REF!</v>
      </c>
      <c r="J62" s="34" t="e">
        <f>J60*('Paramètres et valeurs'!#REF!)</f>
        <v>#REF!</v>
      </c>
      <c r="K62" s="24">
        <f t="shared" si="17"/>
        <v>1375.920543898296</v>
      </c>
    </row>
    <row r="63" spans="3:11" s="35" customFormat="1" x14ac:dyDescent="0.25">
      <c r="C63" s="33" t="s">
        <v>53</v>
      </c>
      <c r="D63" s="34">
        <f>D60*('Paramètres et valeurs'!C70)</f>
        <v>27.43517106211878</v>
      </c>
      <c r="E63" s="34">
        <f>E60*('Paramètres et valeurs'!D70)</f>
        <v>1431.3857464371545</v>
      </c>
      <c r="F63" s="34">
        <f t="shared" si="22"/>
        <v>1458.8209174992733</v>
      </c>
      <c r="G63" s="34">
        <f>G60*('Paramètres et valeurs'!E70)</f>
        <v>27.43517106211878</v>
      </c>
      <c r="H63" s="34">
        <f>H60*('Paramètres et valeurs'!F70)</f>
        <v>1431.3857464371545</v>
      </c>
      <c r="I63" s="34" t="e">
        <f>I60*('Paramètres et valeurs'!#REF!)</f>
        <v>#REF!</v>
      </c>
      <c r="J63" s="34" t="e">
        <f>J60*('Paramètres et valeurs'!#REF!)</f>
        <v>#REF!</v>
      </c>
      <c r="K63" s="24">
        <f t="shared" si="17"/>
        <v>1458.8209174992733</v>
      </c>
    </row>
    <row r="64" spans="3:11" x14ac:dyDescent="0.25">
      <c r="C64" s="29" t="s">
        <v>59</v>
      </c>
      <c r="D64" s="29"/>
      <c r="E64" s="29"/>
      <c r="F64" s="29"/>
      <c r="G64" s="29"/>
      <c r="H64" s="29"/>
      <c r="I64" s="29"/>
      <c r="J64" s="29"/>
      <c r="K64" s="58"/>
    </row>
    <row r="65" spans="3:11" x14ac:dyDescent="0.25">
      <c r="C65" s="8" t="s">
        <v>50</v>
      </c>
      <c r="D65" s="9">
        <f>'Paramètres et valeurs'!C9*'Paramètres et valeurs'!C11*'Paramètres et valeurs'!C77*'Paramètres et valeurs'!C78</f>
        <v>1.7611872146118719E-4</v>
      </c>
      <c r="E65" s="9">
        <f>'Paramètres et valeurs'!D9*'Paramètres et valeurs'!D11*'Paramètres et valeurs'!D77*'Paramètres et valeurs'!D78</f>
        <v>3.743904039368464E-2</v>
      </c>
      <c r="F65" s="9">
        <f>D65+E65</f>
        <v>3.7615159115145826E-2</v>
      </c>
      <c r="G65" s="14">
        <f>'Paramètres et valeurs'!E9*'Paramètres et valeurs'!E11*'Paramètres et valeurs'!E77*'Paramètres et valeurs'!E78</f>
        <v>1.7611872146118719E-4</v>
      </c>
      <c r="H65" s="14">
        <f>'Paramètres et valeurs'!F9*'Paramètres et valeurs'!F11*'Paramètres et valeurs'!F77*'Paramètres et valeurs'!F78</f>
        <v>3.743904039368464E-2</v>
      </c>
      <c r="I65" s="9" t="e">
        <f>'Paramètres et valeurs'!#REF!*'Paramètres et valeurs'!#REF!*'Paramètres et valeurs'!#REF!*'Paramètres et valeurs'!#REF!</f>
        <v>#REF!</v>
      </c>
      <c r="J65" s="9" t="e">
        <f>'Paramètres et valeurs'!#REF!*'Paramètres et valeurs'!#REF!*'Paramètres et valeurs'!#REF!*'Paramètres et valeurs'!#REF!</f>
        <v>#REF!</v>
      </c>
      <c r="K65" s="14">
        <f t="shared" si="17"/>
        <v>3.7615159115145826E-2</v>
      </c>
    </row>
    <row r="66" spans="3:11" x14ac:dyDescent="0.25">
      <c r="C66" s="8" t="s">
        <v>51</v>
      </c>
      <c r="D66" s="12">
        <f>D65*('Paramètres et valeurs'!C79+'Paramètres et valeurs'!C80)</f>
        <v>7.0074696638868872</v>
      </c>
      <c r="E66" s="12">
        <f>E65*('Paramètres et valeurs'!D79+'Paramètres et valeurs'!D80)</f>
        <v>1733.9390462566712</v>
      </c>
      <c r="F66" s="12">
        <f t="shared" ref="F66:F68" si="23">D66+E66</f>
        <v>1740.9465159205581</v>
      </c>
      <c r="G66" s="23">
        <f>G65*('Paramètres et valeurs'!E79+'Paramètres et valeurs'!E80)</f>
        <v>4.4882963457795668</v>
      </c>
      <c r="H66" s="23">
        <f>H65*('Paramètres et valeurs'!F79+'Paramètres et valeurs'!F80)</f>
        <v>1076.266058901231</v>
      </c>
      <c r="I66" s="12" t="e">
        <f>I65*('Paramètres et valeurs'!#REF!+'Paramètres et valeurs'!#REF!)</f>
        <v>#REF!</v>
      </c>
      <c r="J66" s="12" t="e">
        <f>J65*('Paramètres et valeurs'!#REF!+'Paramètres et valeurs'!#REF!)</f>
        <v>#REF!</v>
      </c>
      <c r="K66" s="23">
        <f t="shared" si="17"/>
        <v>1080.7543552470106</v>
      </c>
    </row>
    <row r="67" spans="3:11" s="35" customFormat="1" x14ac:dyDescent="0.25">
      <c r="C67" s="33" t="s">
        <v>52</v>
      </c>
      <c r="D67" s="34">
        <f>D65*('Paramètres et valeurs'!C80)</f>
        <v>5.0383466362146407</v>
      </c>
      <c r="E67" s="34">
        <f>E65*('Paramètres et valeurs'!D80)</f>
        <v>1315.3459747108811</v>
      </c>
      <c r="F67" s="34">
        <f t="shared" si="23"/>
        <v>1320.3843213470957</v>
      </c>
      <c r="G67" s="34">
        <f>G65*('Paramètres et valeurs'!E80)</f>
        <v>2.5191733181073204</v>
      </c>
      <c r="H67" s="34">
        <f>H65*('Paramètres et valeurs'!F80)</f>
        <v>657.67298735544057</v>
      </c>
      <c r="I67" s="34" t="e">
        <f>I65*('Paramètres et valeurs'!#REF!)</f>
        <v>#REF!</v>
      </c>
      <c r="J67" s="34" t="e">
        <f>J65*('Paramètres et valeurs'!#REF!)</f>
        <v>#REF!</v>
      </c>
      <c r="K67" s="24">
        <f t="shared" si="17"/>
        <v>660.19216067354785</v>
      </c>
    </row>
    <row r="68" spans="3:11" s="35" customFormat="1" x14ac:dyDescent="0.25">
      <c r="C68" s="33" t="s">
        <v>53</v>
      </c>
      <c r="D68" s="34">
        <f>D65*('Paramètres et valeurs'!C79)</f>
        <v>1.9691230276722467</v>
      </c>
      <c r="E68" s="34">
        <f>E65*('Paramètres et valeurs'!D79)</f>
        <v>418.59307154579028</v>
      </c>
      <c r="F68" s="34">
        <f t="shared" si="23"/>
        <v>420.56219457346253</v>
      </c>
      <c r="G68" s="34">
        <f>G65*('Paramètres et valeurs'!E79)</f>
        <v>1.9691230276722467</v>
      </c>
      <c r="H68" s="34">
        <f>H65*('Paramètres et valeurs'!F79)</f>
        <v>418.59307154579028</v>
      </c>
      <c r="I68" s="34" t="e">
        <f>I65*('Paramètres et valeurs'!#REF!)</f>
        <v>#REF!</v>
      </c>
      <c r="J68" s="34" t="e">
        <f>J65*('Paramètres et valeurs'!#REF!)</f>
        <v>#REF!</v>
      </c>
      <c r="K68" s="24">
        <f t="shared" si="17"/>
        <v>420.56219457346253</v>
      </c>
    </row>
    <row r="69" spans="3:11" x14ac:dyDescent="0.25">
      <c r="C69" s="29" t="s">
        <v>60</v>
      </c>
      <c r="D69" s="29"/>
      <c r="E69" s="29"/>
      <c r="F69" s="29"/>
      <c r="G69" s="29"/>
      <c r="H69" s="29"/>
      <c r="I69" s="29"/>
      <c r="J69" s="29"/>
      <c r="K69" s="58"/>
    </row>
    <row r="70" spans="3:11" x14ac:dyDescent="0.25">
      <c r="C70" s="8" t="s">
        <v>50</v>
      </c>
      <c r="D70" s="9">
        <f>'Paramètres et valeurs'!C9*'Paramètres et valeurs'!C11*'Paramètres et valeurs'!C86*'Paramètres et valeurs'!C87</f>
        <v>0.12263587340231287</v>
      </c>
      <c r="E70" s="9">
        <f>'Paramètres et valeurs'!D9*'Paramètres et valeurs'!D11*'Paramètres et valeurs'!D86*'Paramètres et valeurs'!D87</f>
        <v>1.5628409048178613</v>
      </c>
      <c r="F70" s="9">
        <f>D70+E70</f>
        <v>1.6854767782201743</v>
      </c>
      <c r="G70" s="14">
        <f>'Paramètres et valeurs'!E9*'Paramètres et valeurs'!E11*'Paramètres et valeurs'!E86*'Paramètres et valeurs'!E87</f>
        <v>0.12263587340231287</v>
      </c>
      <c r="H70" s="14">
        <f>'Paramètres et valeurs'!F9*'Paramètres et valeurs'!F11*'Paramètres et valeurs'!F86*'Paramètres et valeurs'!F87</f>
        <v>1.5628409048178613</v>
      </c>
      <c r="I70" s="9" t="e">
        <f>'Paramètres et valeurs'!#REF!*'Paramètres et valeurs'!#REF!*'Paramètres et valeurs'!#REF!*'Paramètres et valeurs'!#REF!</f>
        <v>#REF!</v>
      </c>
      <c r="J70" s="9" t="e">
        <f>'Paramètres et valeurs'!#REF!*'Paramètres et valeurs'!#REF!*'Paramètres et valeurs'!#REF!*'Paramètres et valeurs'!#REF!</f>
        <v>#REF!</v>
      </c>
      <c r="K70" s="14">
        <f t="shared" si="17"/>
        <v>1.6854767782201743</v>
      </c>
    </row>
    <row r="71" spans="3:11" x14ac:dyDescent="0.25">
      <c r="C71" s="8" t="s">
        <v>51</v>
      </c>
      <c r="D71" s="12">
        <f>D70*('Paramètres et valeurs'!C88+'Paramètres et valeurs'!C89)</f>
        <v>19443.281104173893</v>
      </c>
      <c r="E71" s="12">
        <f>E70*('Paramètres et valeurs'!D88+'Paramètres et valeurs'!D89)</f>
        <v>290235.60947185964</v>
      </c>
      <c r="F71" s="12">
        <f t="shared" ref="F71:F73" si="24">D71+E71</f>
        <v>309678.89057603356</v>
      </c>
      <c r="G71" s="23">
        <f>G70*('Paramètres et valeurs'!E88+'Paramètres et valeurs'!E89)</f>
        <v>11960.610856230049</v>
      </c>
      <c r="H71" s="23">
        <f>H70*('Paramètres et valeurs'!F88+'Paramètres et valeurs'!F89)</f>
        <v>173650.68242424034</v>
      </c>
      <c r="I71" s="12" t="e">
        <f>I70*('Paramètres et valeurs'!#REF!+'Paramètres et valeurs'!#REF!)</f>
        <v>#REF!</v>
      </c>
      <c r="J71" s="12" t="e">
        <f>J70*('Paramètres et valeurs'!#REF!+'Paramètres et valeurs'!#REF!)</f>
        <v>#REF!</v>
      </c>
      <c r="K71" s="23">
        <f t="shared" si="17"/>
        <v>185611.29328047039</v>
      </c>
    </row>
    <row r="72" spans="3:11" s="35" customFormat="1" x14ac:dyDescent="0.25">
      <c r="C72" s="33" t="s">
        <v>52</v>
      </c>
      <c r="D72" s="34">
        <f>D70*('Paramètres et valeurs'!C89)</f>
        <v>14965.340495887689</v>
      </c>
      <c r="E72" s="34">
        <f>E70*('Paramètres et valeurs'!D89)</f>
        <v>233169.85409523855</v>
      </c>
      <c r="F72" s="34">
        <f t="shared" si="24"/>
        <v>248135.19459112623</v>
      </c>
      <c r="G72" s="34">
        <f>G70*('Paramètres et valeurs'!E89)</f>
        <v>7482.6702479438445</v>
      </c>
      <c r="H72" s="34">
        <f>H70*('Paramètres et valeurs'!F89)</f>
        <v>116584.92704761928</v>
      </c>
      <c r="I72" s="34" t="e">
        <f>I70*('Paramètres et valeurs'!#REF!)</f>
        <v>#REF!</v>
      </c>
      <c r="J72" s="34" t="e">
        <f>J70*('Paramètres et valeurs'!#REF!)</f>
        <v>#REF!</v>
      </c>
      <c r="K72" s="24">
        <f t="shared" si="17"/>
        <v>124067.59729556312</v>
      </c>
    </row>
    <row r="73" spans="3:11" s="35" customFormat="1" x14ac:dyDescent="0.25">
      <c r="C73" s="33" t="s">
        <v>53</v>
      </c>
      <c r="D73" s="34">
        <f>D70*('Paramètres et valeurs'!C88)</f>
        <v>4477.9406082862033</v>
      </c>
      <c r="E73" s="34">
        <f>E70*('Paramètres et valeurs'!D88)</f>
        <v>57065.755376621055</v>
      </c>
      <c r="F73" s="34">
        <f t="shared" si="24"/>
        <v>61543.695984907259</v>
      </c>
      <c r="G73" s="34">
        <f>G70*('Paramètres et valeurs'!E88)</f>
        <v>4477.9406082862033</v>
      </c>
      <c r="H73" s="34">
        <f>H70*('Paramètres et valeurs'!F88)</f>
        <v>57065.755376621055</v>
      </c>
      <c r="I73" s="34" t="e">
        <f>I70*('Paramètres et valeurs'!#REF!)</f>
        <v>#REF!</v>
      </c>
      <c r="J73" s="34" t="e">
        <f>J70*('Paramètres et valeurs'!#REF!)</f>
        <v>#REF!</v>
      </c>
      <c r="K73" s="24">
        <f t="shared" si="17"/>
        <v>61543.695984907259</v>
      </c>
    </row>
    <row r="74" spans="3:11" x14ac:dyDescent="0.25">
      <c r="C74" s="29" t="s">
        <v>61</v>
      </c>
      <c r="D74" s="29"/>
      <c r="E74" s="29"/>
      <c r="F74" s="29"/>
      <c r="G74" s="29"/>
      <c r="H74" s="29"/>
      <c r="I74" s="29"/>
      <c r="J74" s="29"/>
      <c r="K74" s="58"/>
    </row>
    <row r="75" spans="3:11" x14ac:dyDescent="0.25">
      <c r="C75" s="8" t="s">
        <v>50</v>
      </c>
      <c r="D75" s="9">
        <f>'Paramètres et valeurs'!C9*'Paramètres et valeurs'!C11*'Paramètres et valeurs'!C95*'Paramètres et valeurs'!C96</f>
        <v>3.676671504485457E-2</v>
      </c>
      <c r="E75" s="9">
        <f>'Paramètres et valeurs'!D9*'Paramètres et valeurs'!D11*'Paramètres et valeurs'!D95*'Paramètres et valeurs'!D96</f>
        <v>0.20478118912328316</v>
      </c>
      <c r="F75" s="9">
        <f>D75+E75</f>
        <v>0.24154790416813773</v>
      </c>
      <c r="G75" s="14">
        <f>'Paramètres et valeurs'!E9*'Paramètres et valeurs'!E11*'Paramètres et valeurs'!E95*'Paramètres et valeurs'!E96</f>
        <v>3.676671504485457E-2</v>
      </c>
      <c r="H75" s="14">
        <f>'Paramètres et valeurs'!F9*'Paramètres et valeurs'!F11*'Paramètres et valeurs'!F95*'Paramètres et valeurs'!F96</f>
        <v>0.20478118912328316</v>
      </c>
      <c r="I75" s="9" t="e">
        <f>'Paramètres et valeurs'!#REF!*'Paramètres et valeurs'!#REF!*'Paramètres et valeurs'!#REF!*'Paramètres et valeurs'!#REF!</f>
        <v>#REF!</v>
      </c>
      <c r="J75" s="9" t="e">
        <f>'Paramètres et valeurs'!#REF!*'Paramètres et valeurs'!#REF!*'Paramètres et valeurs'!#REF!*'Paramètres et valeurs'!#REF!</f>
        <v>#REF!</v>
      </c>
      <c r="K75" s="14">
        <f t="shared" si="17"/>
        <v>0.24154790416813773</v>
      </c>
    </row>
    <row r="76" spans="3:11" x14ac:dyDescent="0.25">
      <c r="C76" s="8" t="s">
        <v>51</v>
      </c>
      <c r="D76" s="12">
        <f>D75*('Paramètres et valeurs'!C97+'Paramètres et valeurs'!C98)</f>
        <v>2794.9732158053475</v>
      </c>
      <c r="E76" s="12">
        <f>E75*('Paramètres et valeurs'!D97+'Paramètres et valeurs'!D98)</f>
        <v>15206.66310640309</v>
      </c>
      <c r="F76" s="12">
        <f t="shared" ref="F76:F78" si="25">D76+E76</f>
        <v>18001.636322208436</v>
      </c>
      <c r="G76" s="23">
        <f>G75*('Paramètres et valeurs'!E97+'Paramètres et valeurs'!E98)</f>
        <v>1588.7729115622103</v>
      </c>
      <c r="H76" s="23">
        <f>H75*('Paramètres et valeurs'!F97+'Paramètres et valeurs'!F98)</f>
        <v>8668.7472880206205</v>
      </c>
      <c r="I76" s="12" t="e">
        <f>I75*('Paramètres et valeurs'!#REF!+'Paramètres et valeurs'!#REF!)</f>
        <v>#REF!</v>
      </c>
      <c r="J76" s="12" t="e">
        <f>J75*('Paramètres et valeurs'!#REF!+'Paramètres et valeurs'!#REF!)</f>
        <v>#REF!</v>
      </c>
      <c r="K76" s="23">
        <f t="shared" si="17"/>
        <v>10257.52019958283</v>
      </c>
    </row>
    <row r="77" spans="3:11" s="35" customFormat="1" x14ac:dyDescent="0.25">
      <c r="C77" s="33" t="s">
        <v>52</v>
      </c>
      <c r="D77" s="34">
        <f>D75*('Paramètres et valeurs'!C98)</f>
        <v>2412.4006084862745</v>
      </c>
      <c r="E77" s="34">
        <f>E75*('Paramètres et valeurs'!D98)</f>
        <v>13075.831636764937</v>
      </c>
      <c r="F77" s="34">
        <f t="shared" si="25"/>
        <v>15488.232245251211</v>
      </c>
      <c r="G77" s="34">
        <f>G75*('Paramètres et valeurs'!E98)</f>
        <v>1206.2003042431372</v>
      </c>
      <c r="H77" s="34">
        <f>H75*('Paramètres et valeurs'!F98)</f>
        <v>6537.9158183824684</v>
      </c>
      <c r="I77" s="34" t="e">
        <f>I75*('Paramètres et valeurs'!#REF!)</f>
        <v>#REF!</v>
      </c>
      <c r="J77" s="34" t="e">
        <f>J75*('Paramètres et valeurs'!#REF!)</f>
        <v>#REF!</v>
      </c>
      <c r="K77" s="24">
        <f t="shared" si="17"/>
        <v>7744.1161226256054</v>
      </c>
    </row>
    <row r="78" spans="3:11" s="35" customFormat="1" x14ac:dyDescent="0.25">
      <c r="C78" s="33" t="s">
        <v>53</v>
      </c>
      <c r="D78" s="34">
        <f>D75*('Paramètres et valeurs'!C97)</f>
        <v>382.57260731907292</v>
      </c>
      <c r="E78" s="34">
        <f>E75*('Paramètres et valeurs'!D97)</f>
        <v>2130.8314696381522</v>
      </c>
      <c r="F78" s="34">
        <f t="shared" si="25"/>
        <v>2513.4040769572252</v>
      </c>
      <c r="G78" s="34">
        <f>G75*('Paramètres et valeurs'!E97)</f>
        <v>382.57260731907292</v>
      </c>
      <c r="H78" s="34">
        <f>H75*('Paramètres et valeurs'!F97)</f>
        <v>2130.8314696381522</v>
      </c>
      <c r="I78" s="34" t="e">
        <f>I75*('Paramètres et valeurs'!#REF!+'Paramètres et valeurs'!#REF!)</f>
        <v>#REF!</v>
      </c>
      <c r="J78" s="34" t="e">
        <f>J75*('Paramètres et valeurs'!#REF!+'Paramètres et valeurs'!#REF!)</f>
        <v>#REF!</v>
      </c>
      <c r="K78" s="24">
        <f t="shared" si="17"/>
        <v>2513.4040769572252</v>
      </c>
    </row>
    <row r="79" spans="3:11" x14ac:dyDescent="0.25">
      <c r="C79" s="29" t="s">
        <v>62</v>
      </c>
      <c r="D79" s="29"/>
      <c r="E79" s="29"/>
      <c r="F79" s="29"/>
      <c r="G79" s="29"/>
      <c r="H79" s="29"/>
      <c r="I79" s="29"/>
      <c r="J79" s="29"/>
      <c r="K79" s="58"/>
    </row>
    <row r="80" spans="3:11" x14ac:dyDescent="0.25">
      <c r="C80" s="8" t="s">
        <v>50</v>
      </c>
      <c r="D80" s="9">
        <f>'Paramètres et valeurs'!C9*'Paramètres et valeurs'!C11*'Paramètres et valeurs'!C104*'Paramètres et valeurs'!C105</f>
        <v>0</v>
      </c>
      <c r="E80" s="9">
        <f>'Paramètres et valeurs'!D9*'Paramètres et valeurs'!D11*'Paramètres et valeurs'!D104*'Paramètres et valeurs'!D105</f>
        <v>0.30311046444121914</v>
      </c>
      <c r="F80" s="9">
        <f>D80+E80</f>
        <v>0.30311046444121914</v>
      </c>
      <c r="G80" s="14">
        <f>'Paramètres et valeurs'!E9*'Paramètres et valeurs'!E11*'Paramètres et valeurs'!E104*'Paramètres et valeurs'!E105</f>
        <v>0</v>
      </c>
      <c r="H80" s="14">
        <f>'Paramètres et valeurs'!F9*'Paramètres et valeurs'!F11*'Paramètres et valeurs'!F104*'Paramètres et valeurs'!F105</f>
        <v>0.30311046444121914</v>
      </c>
      <c r="I80" s="9" t="e">
        <f>'Paramètres et valeurs'!#REF!*'Paramètres et valeurs'!#REF!*'Paramètres et valeurs'!#REF!*'Paramètres et valeurs'!#REF!</f>
        <v>#REF!</v>
      </c>
      <c r="J80" s="9" t="e">
        <f>'Paramètres et valeurs'!#REF!*'Paramètres et valeurs'!#REF!*'Paramètres et valeurs'!#REF!*'Paramètres et valeurs'!#REF!</f>
        <v>#REF!</v>
      </c>
      <c r="K80" s="14">
        <f t="shared" si="17"/>
        <v>0.30311046444121914</v>
      </c>
    </row>
    <row r="81" spans="3:11" x14ac:dyDescent="0.25">
      <c r="C81" s="8" t="s">
        <v>51</v>
      </c>
      <c r="D81" s="12">
        <f>D80*('Paramètres et valeurs'!C106+'Paramètres et valeurs'!C107)</f>
        <v>0</v>
      </c>
      <c r="E81" s="12">
        <f>E80*('Paramètres et valeurs'!D106+'Paramètres et valeurs'!D107)</f>
        <v>40996.896748372594</v>
      </c>
      <c r="F81" s="12">
        <f t="shared" ref="F81:F83" si="26">D81+E81</f>
        <v>40996.896748372594</v>
      </c>
      <c r="G81" s="23">
        <f>G80*('Paramètres et valeurs'!E106+'Paramètres et valeurs'!E107)</f>
        <v>0</v>
      </c>
      <c r="H81" s="23">
        <f>H80*('Paramètres et valeurs'!F106+'Paramètres et valeurs'!F107)</f>
        <v>23946.020310564894</v>
      </c>
      <c r="I81" s="12" t="e">
        <f>I80*('Paramètres et valeurs'!#REF!+'Paramètres et valeurs'!#REF!)</f>
        <v>#REF!</v>
      </c>
      <c r="J81" s="12" t="e">
        <f>J80*('Paramètres et valeurs'!#REF!+'Paramètres et valeurs'!#REF!)</f>
        <v>#REF!</v>
      </c>
      <c r="K81" s="23">
        <f t="shared" si="17"/>
        <v>23946.020310564894</v>
      </c>
    </row>
    <row r="82" spans="3:11" s="35" customFormat="1" x14ac:dyDescent="0.25">
      <c r="C82" s="33" t="s">
        <v>52</v>
      </c>
      <c r="D82" s="34">
        <f>D80*('Paramètres et valeurs'!C107)</f>
        <v>0</v>
      </c>
      <c r="E82" s="34">
        <f>E80*('Paramètres et valeurs'!D107)</f>
        <v>34101.752875615392</v>
      </c>
      <c r="F82" s="34">
        <f t="shared" si="26"/>
        <v>34101.752875615392</v>
      </c>
      <c r="G82" s="34">
        <f>G80*('Paramètres et valeurs'!E107)</f>
        <v>0</v>
      </c>
      <c r="H82" s="34">
        <f>H80*('Paramètres et valeurs'!F107)</f>
        <v>17050.876437807696</v>
      </c>
      <c r="I82" s="34" t="e">
        <f>I80*('Paramètres et valeurs'!#REF!)</f>
        <v>#REF!</v>
      </c>
      <c r="J82" s="34" t="e">
        <f>J80*('Paramètres et valeurs'!#REF!)</f>
        <v>#REF!</v>
      </c>
      <c r="K82" s="24">
        <f t="shared" si="17"/>
        <v>17050.876437807696</v>
      </c>
    </row>
    <row r="83" spans="3:11" s="35" customFormat="1" x14ac:dyDescent="0.25">
      <c r="C83" s="33" t="s">
        <v>53</v>
      </c>
      <c r="D83" s="34">
        <f>D80*('Paramètres et valeurs'!C106)</f>
        <v>0</v>
      </c>
      <c r="E83" s="34">
        <f>E80*('Paramètres et valeurs'!D106)</f>
        <v>6895.1438727571986</v>
      </c>
      <c r="F83" s="34">
        <f t="shared" si="26"/>
        <v>6895.1438727571986</v>
      </c>
      <c r="G83" s="34">
        <f>G80*('Paramètres et valeurs'!E106)</f>
        <v>0</v>
      </c>
      <c r="H83" s="34">
        <f>H80*('Paramètres et valeurs'!F106)</f>
        <v>6895.1438727571986</v>
      </c>
      <c r="I83" s="34" t="e">
        <f>I80*('Paramètres et valeurs'!#REF!)</f>
        <v>#REF!</v>
      </c>
      <c r="J83" s="34" t="e">
        <f>J80*('Paramètres et valeurs'!#REF!)</f>
        <v>#REF!</v>
      </c>
      <c r="K83" s="24">
        <f t="shared" si="17"/>
        <v>6895.1438727571986</v>
      </c>
    </row>
    <row r="84" spans="3:11" x14ac:dyDescent="0.25">
      <c r="C84" s="29" t="s">
        <v>63</v>
      </c>
      <c r="D84" s="29"/>
      <c r="E84" s="29"/>
      <c r="F84" s="29"/>
      <c r="G84" s="29"/>
      <c r="H84" s="29"/>
      <c r="I84" s="29"/>
      <c r="J84" s="29"/>
      <c r="K84" s="58"/>
    </row>
    <row r="85" spans="3:11" x14ac:dyDescent="0.25">
      <c r="C85" s="8" t="s">
        <v>50</v>
      </c>
      <c r="D85" s="9">
        <f>'Paramètres et valeurs'!C9*'Paramètres et valeurs'!C11*'Paramètres et valeurs'!C113*'Paramètres et valeurs'!C114</f>
        <v>6.3519095083436003E-4</v>
      </c>
      <c r="E85" s="9">
        <f>'Paramètres et valeurs'!D9*'Paramètres et valeurs'!D11*'Paramètres et valeurs'!D113*'Paramètres et valeurs'!D114</f>
        <v>4.4513752151462999E-2</v>
      </c>
      <c r="F85" s="9">
        <f>D85+E85</f>
        <v>4.5148943102297362E-2</v>
      </c>
      <c r="G85" s="14">
        <f>'Paramètres et valeurs'!E9*'Paramètres et valeurs'!E11*'Paramètres et valeurs'!E113*'Paramètres et valeurs'!E114</f>
        <v>6.3519095083436003E-4</v>
      </c>
      <c r="H85" s="14">
        <f>'Paramètres et valeurs'!F9*'Paramètres et valeurs'!F11*'Paramètres et valeurs'!F113*'Paramètres et valeurs'!F114</f>
        <v>4.4513752151462999E-2</v>
      </c>
      <c r="I85" s="9" t="e">
        <f>'Paramètres et valeurs'!#REF!*'Paramètres et valeurs'!#REF!*'Paramètres et valeurs'!#REF!*'Paramètres et valeurs'!#REF!</f>
        <v>#REF!</v>
      </c>
      <c r="J85" s="9" t="e">
        <f>'Paramètres et valeurs'!#REF!*'Paramètres et valeurs'!#REF!*'Paramètres et valeurs'!#REF!*'Paramètres et valeurs'!#REF!</f>
        <v>#REF!</v>
      </c>
      <c r="K85" s="14">
        <f t="shared" si="17"/>
        <v>4.5148943102297362E-2</v>
      </c>
    </row>
    <row r="86" spans="3:11" x14ac:dyDescent="0.25">
      <c r="C86" s="8" t="s">
        <v>51</v>
      </c>
      <c r="D86" s="12">
        <f>D85*('Paramètres et valeurs'!C115+'Paramètres et valeurs'!C116)</f>
        <v>134.1272495540145</v>
      </c>
      <c r="E86" s="12">
        <f>E85*('Paramètres et valeurs'!D115+'Paramètres et valeurs'!D116)</f>
        <v>8460.233631488305</v>
      </c>
      <c r="F86" s="12">
        <f t="shared" ref="F86:F88" si="27">D86+E86</f>
        <v>8594.3608810423193</v>
      </c>
      <c r="G86" s="23">
        <f>G85*('Paramètres et valeurs'!E115+'Paramètres et valeurs'!E116)</f>
        <v>77.275098104126371</v>
      </c>
      <c r="H86" s="23">
        <f>H85*('Paramètres et valeurs'!F115+'Paramètres et valeurs'!F116)</f>
        <v>4945.7299588274673</v>
      </c>
      <c r="I86" s="12" t="e">
        <f>I85*('Paramètres et valeurs'!#REF!+'Paramètres et valeurs'!#REF!)</f>
        <v>#REF!</v>
      </c>
      <c r="J86" s="12" t="e">
        <f>J85*('Paramètres et valeurs'!#REF!+'Paramètres et valeurs'!#REF!)</f>
        <v>#REF!</v>
      </c>
      <c r="K86" s="23">
        <f t="shared" si="17"/>
        <v>5023.0050569315936</v>
      </c>
    </row>
    <row r="87" spans="3:11" s="35" customFormat="1" x14ac:dyDescent="0.25">
      <c r="C87" s="33" t="s">
        <v>52</v>
      </c>
      <c r="D87" s="36">
        <f>D85*('Paramètres et valeurs'!C116)</f>
        <v>113.70430289977628</v>
      </c>
      <c r="E87" s="36">
        <f>E85*('Paramètres et valeurs'!D116)</f>
        <v>7029.0073453216764</v>
      </c>
      <c r="F87" s="34">
        <f t="shared" si="27"/>
        <v>7142.7116482214524</v>
      </c>
      <c r="G87" s="36">
        <f>G85*('Paramètres et valeurs'!E116)</f>
        <v>56.85215144988814</v>
      </c>
      <c r="H87" s="36">
        <f>H85*('Paramètres et valeurs'!F116)</f>
        <v>3514.5036726608382</v>
      </c>
      <c r="I87" s="37" t="e">
        <f>I85*('Paramètres et valeurs'!#REF!)</f>
        <v>#REF!</v>
      </c>
      <c r="J87" s="37" t="e">
        <f>J85*('Paramètres et valeurs'!#REF!)</f>
        <v>#REF!</v>
      </c>
      <c r="K87" s="24">
        <f t="shared" si="17"/>
        <v>3571.3558241107262</v>
      </c>
    </row>
    <row r="88" spans="3:11" s="35" customFormat="1" x14ac:dyDescent="0.25">
      <c r="C88" s="33" t="s">
        <v>53</v>
      </c>
      <c r="D88" s="36">
        <f>D85*('Paramètres et valeurs'!C115)</f>
        <v>20.422946654238228</v>
      </c>
      <c r="E88" s="36">
        <f>E85*('Paramètres et valeurs'!D115)</f>
        <v>1431.2262861666291</v>
      </c>
      <c r="F88" s="34">
        <f t="shared" si="27"/>
        <v>1451.6492328208674</v>
      </c>
      <c r="G88" s="36">
        <f>G85*('Paramètres et valeurs'!E115)</f>
        <v>20.422946654238228</v>
      </c>
      <c r="H88" s="36">
        <f>H85*('Paramètres et valeurs'!F115)</f>
        <v>1431.2262861666291</v>
      </c>
      <c r="I88" s="36" t="e">
        <f>I85*('Paramètres et valeurs'!#REF!)</f>
        <v>#REF!</v>
      </c>
      <c r="J88" s="36" t="e">
        <f>J85*('Paramètres et valeurs'!#REF!)</f>
        <v>#REF!</v>
      </c>
      <c r="K88" s="24">
        <f t="shared" si="17"/>
        <v>1451.6492328208674</v>
      </c>
    </row>
    <row r="91" spans="3:11" x14ac:dyDescent="0.25">
      <c r="C91" s="317" t="s">
        <v>64</v>
      </c>
      <c r="D91" s="317"/>
      <c r="E91" s="317"/>
      <c r="F91" s="317"/>
      <c r="G91" s="317"/>
      <c r="H91" s="317"/>
      <c r="I91" s="317"/>
      <c r="J91" s="317"/>
    </row>
    <row r="92" spans="3:11" x14ac:dyDescent="0.25">
      <c r="C92" s="320" t="s">
        <v>65</v>
      </c>
      <c r="D92" s="320"/>
      <c r="E92" s="320"/>
      <c r="F92" s="320"/>
      <c r="G92" s="101"/>
      <c r="H92" s="101"/>
      <c r="I92" s="102"/>
      <c r="J92" s="102"/>
    </row>
    <row r="93" spans="3:11" x14ac:dyDescent="0.25">
      <c r="C93" s="103" t="s">
        <v>66</v>
      </c>
      <c r="D93" s="104">
        <f>D98+D101+D104+D107+D110+D113+D116</f>
        <v>26806.366491510111</v>
      </c>
      <c r="E93" s="104">
        <f t="shared" ref="E93:J93" si="28">E98+E101+E104+E107+E110+E113+E116</f>
        <v>1221859.8068789602</v>
      </c>
      <c r="F93" s="104">
        <f>D93+E93</f>
        <v>1248666.1733704703</v>
      </c>
      <c r="G93" s="83"/>
      <c r="H93" s="83"/>
      <c r="I93" s="104" t="e">
        <f t="shared" si="28"/>
        <v>#REF!</v>
      </c>
      <c r="J93" s="104" t="e">
        <f t="shared" si="28"/>
        <v>#REF!</v>
      </c>
    </row>
    <row r="94" spans="3:11" x14ac:dyDescent="0.25">
      <c r="C94" s="105" t="s">
        <v>67</v>
      </c>
      <c r="D94" s="106">
        <f>D98+D101+D104+D107+D110+D113+D116+D119+D122+D125+D128</f>
        <v>28174.921171932088</v>
      </c>
      <c r="E94" s="106">
        <f t="shared" ref="E94:J94" si="29">E98+E101+E104+E107+E110+E113+E116+E119+E122+E125+E128</f>
        <v>1497446.5230722129</v>
      </c>
      <c r="F94" s="104">
        <f>D94+E94</f>
        <v>1525621.444244145</v>
      </c>
      <c r="G94" s="83"/>
      <c r="H94" s="83"/>
      <c r="I94" s="106" t="e">
        <f t="shared" si="29"/>
        <v>#REF!</v>
      </c>
      <c r="J94" s="106" t="e">
        <f t="shared" si="29"/>
        <v>#REF!</v>
      </c>
    </row>
    <row r="95" spans="3:11" x14ac:dyDescent="0.25">
      <c r="C95" s="103" t="s">
        <v>68</v>
      </c>
      <c r="D95" s="100"/>
      <c r="E95" s="100"/>
      <c r="F95" s="100"/>
      <c r="G95" s="107"/>
      <c r="H95" s="107"/>
      <c r="I95" s="100"/>
      <c r="J95" s="100"/>
    </row>
    <row r="96" spans="3:11" x14ac:dyDescent="0.25">
      <c r="C96" s="108" t="s">
        <v>49</v>
      </c>
      <c r="D96" s="108"/>
      <c r="E96" s="108"/>
      <c r="F96" s="108"/>
      <c r="G96" s="101"/>
      <c r="H96" s="101"/>
      <c r="I96" s="108"/>
      <c r="J96" s="108"/>
    </row>
    <row r="97" spans="3:10" x14ac:dyDescent="0.25">
      <c r="C97" s="105" t="s">
        <v>36</v>
      </c>
      <c r="D97" s="109">
        <f>'Paramètres et valeurs'!C9*'Paramètres et valeurs'!C11*'Paramètres et valeurs'!C16*'Paramètres et valeurs'!C27</f>
        <v>2.2629942983262842E-3</v>
      </c>
      <c r="E97" s="109">
        <f>'Paramètres et valeurs'!D9*'Paramètres et valeurs'!D11*'Paramètres et valeurs'!D16*'Paramètres et valeurs'!D27</f>
        <v>0.17011447351627312</v>
      </c>
      <c r="F97" s="109">
        <f>D97+E97</f>
        <v>0.17237746781459939</v>
      </c>
      <c r="G97" s="110"/>
      <c r="H97" s="110"/>
      <c r="I97" s="109" t="e">
        <f>'Paramètres et valeurs'!#REF!*'Paramètres et valeurs'!#REF!*'Paramètres et valeurs'!#REF!*'Paramètres et valeurs'!#REF!</f>
        <v>#REF!</v>
      </c>
      <c r="J97" s="109" t="e">
        <f>'Paramètres et valeurs'!#REF!*'Paramètres et valeurs'!#REF!*'Paramètres et valeurs'!#REF!*'Paramètres et valeurs'!#REF!</f>
        <v>#REF!</v>
      </c>
    </row>
    <row r="98" spans="3:10" x14ac:dyDescent="0.25">
      <c r="C98" s="103" t="s">
        <v>37</v>
      </c>
      <c r="D98" s="104">
        <f>D97*'Paramètres et valeurs'!C28</f>
        <v>8589.945948957471</v>
      </c>
      <c r="E98" s="104">
        <f>E97*'Paramètres et valeurs'!D28</f>
        <v>409128.62263032305</v>
      </c>
      <c r="F98" s="106">
        <f>D98+E98</f>
        <v>417718.56857928052</v>
      </c>
      <c r="G98" s="83"/>
      <c r="H98" s="83"/>
      <c r="I98" s="104" t="e">
        <f>I97*'Paramètres et valeurs'!#REF!</f>
        <v>#REF!</v>
      </c>
      <c r="J98" s="104" t="e">
        <f>J97*'Paramètres et valeurs'!#REF!</f>
        <v>#REF!</v>
      </c>
    </row>
    <row r="99" spans="3:10" x14ac:dyDescent="0.25">
      <c r="C99" s="108" t="s">
        <v>54</v>
      </c>
      <c r="D99" s="108"/>
      <c r="E99" s="108"/>
      <c r="F99" s="108"/>
      <c r="G99" s="101"/>
      <c r="H99" s="101"/>
      <c r="I99" s="108"/>
      <c r="J99" s="108"/>
    </row>
    <row r="100" spans="3:10" x14ac:dyDescent="0.25">
      <c r="C100" s="105" t="s">
        <v>36</v>
      </c>
      <c r="D100" s="109">
        <f>'Paramètres et valeurs'!C9*'Paramètres et valeurs'!C11*'Paramètres et valeurs'!C16*'Paramètres et valeurs'!C36</f>
        <v>1.43169027036969E-4</v>
      </c>
      <c r="E100" s="109">
        <f>'Paramètres et valeurs'!D9*'Paramètres et valeurs'!D11*'Paramètres et valeurs'!D16*'Paramètres et valeurs'!D36</f>
        <v>3.1219374601148694E-2</v>
      </c>
      <c r="F100" s="109">
        <f>D100+E100</f>
        <v>3.1362543628185663E-2</v>
      </c>
      <c r="G100" s="110"/>
      <c r="H100" s="110"/>
      <c r="I100" s="109" t="e">
        <f>'Paramètres et valeurs'!#REF!*'Paramètres et valeurs'!#REF!*'Paramètres et valeurs'!#REF!*'Paramètres et valeurs'!#REF!</f>
        <v>#REF!</v>
      </c>
      <c r="J100" s="109" t="e">
        <f>'Paramètres et valeurs'!#REF!*'Paramètres et valeurs'!#REF!*'Paramètres et valeurs'!#REF!*'Paramètres et valeurs'!#REF!</f>
        <v>#REF!</v>
      </c>
    </row>
    <row r="101" spans="3:10" x14ac:dyDescent="0.25">
      <c r="C101" s="103" t="s">
        <v>37</v>
      </c>
      <c r="D101" s="104">
        <f>D100*'Paramètres et valeurs'!C37</f>
        <v>548.04796890048169</v>
      </c>
      <c r="E101" s="104">
        <f>E100*'Paramètres et valeurs'!D37</f>
        <v>68557.424515316234</v>
      </c>
      <c r="F101" s="106">
        <f>D101+E101</f>
        <v>69105.47248421672</v>
      </c>
      <c r="G101" s="83"/>
      <c r="H101" s="83"/>
      <c r="I101" s="104" t="e">
        <f>I100*'Paramètres et valeurs'!#REF!</f>
        <v>#REF!</v>
      </c>
      <c r="J101" s="104" t="e">
        <f>J100*'Paramètres et valeurs'!#REF!</f>
        <v>#REF!</v>
      </c>
    </row>
    <row r="102" spans="3:10" x14ac:dyDescent="0.25">
      <c r="C102" s="108" t="s">
        <v>55</v>
      </c>
      <c r="D102" s="108"/>
      <c r="E102" s="108"/>
      <c r="F102" s="108"/>
      <c r="G102" s="101"/>
      <c r="H102" s="101"/>
      <c r="I102" s="108"/>
      <c r="J102" s="108"/>
    </row>
    <row r="103" spans="3:10" x14ac:dyDescent="0.25">
      <c r="C103" s="105" t="s">
        <v>36</v>
      </c>
      <c r="D103" s="109">
        <f>'Paramètres et valeurs'!C9*'Paramètres et valeurs'!C11*'Paramètres et valeurs'!C16*'Paramètres et valeurs'!C45</f>
        <v>2.5862791980871816E-3</v>
      </c>
      <c r="E103" s="109">
        <f>'Paramètres et valeurs'!D9*'Paramètres et valeurs'!D11*'Paramètres et valeurs'!D16*'Paramètres et valeurs'!D45</f>
        <v>9.0408819400127641E-2</v>
      </c>
      <c r="F103" s="109">
        <f>D103+E103</f>
        <v>9.2995098598214823E-2</v>
      </c>
      <c r="G103" s="110"/>
      <c r="H103" s="110"/>
      <c r="I103" s="109" t="e">
        <f>'Paramètres et valeurs'!#REF!*'Paramètres et valeurs'!#REF!*'Paramètres et valeurs'!#REF!*'Paramètres et valeurs'!#REF!</f>
        <v>#REF!</v>
      </c>
      <c r="J103" s="109" t="e">
        <f>'Paramètres et valeurs'!#REF!*'Paramètres et valeurs'!#REF!*'Paramètres et valeurs'!#REF!*'Paramètres et valeurs'!#REF!</f>
        <v>#REF!</v>
      </c>
    </row>
    <row r="104" spans="3:10" x14ac:dyDescent="0.25">
      <c r="C104" s="103" t="s">
        <v>37</v>
      </c>
      <c r="D104" s="104">
        <f>D103*'Paramètres et valeurs'!C46</f>
        <v>9752.8325509736605</v>
      </c>
      <c r="E104" s="104">
        <f>E103*'Paramètres et valeurs'!D46</f>
        <v>230290.00873162135</v>
      </c>
      <c r="F104" s="106">
        <f>D104+E104</f>
        <v>240042.84128259501</v>
      </c>
      <c r="G104" s="83"/>
      <c r="H104" s="83"/>
      <c r="I104" s="104" t="e">
        <f>I103*'Paramètres et valeurs'!#REF!</f>
        <v>#REF!</v>
      </c>
      <c r="J104" s="104" t="e">
        <f>J103*'Paramètres et valeurs'!#REF!</f>
        <v>#REF!</v>
      </c>
    </row>
    <row r="105" spans="3:10" x14ac:dyDescent="0.25">
      <c r="C105" s="108" t="s">
        <v>56</v>
      </c>
      <c r="D105" s="108"/>
      <c r="E105" s="108"/>
      <c r="F105" s="108"/>
      <c r="G105" s="101"/>
      <c r="H105" s="101"/>
      <c r="I105" s="108"/>
      <c r="J105" s="108"/>
    </row>
    <row r="106" spans="3:10" x14ac:dyDescent="0.25">
      <c r="C106" s="105" t="s">
        <v>36</v>
      </c>
      <c r="D106" s="111">
        <f>'Paramètres et valeurs'!C9*'Paramètres et valeurs'!C11*'Paramètres et valeurs'!C16*'Paramètres et valeurs'!C54</f>
        <v>1.2238642633805414E-3</v>
      </c>
      <c r="E106" s="111">
        <f>'Paramètres et valeurs'!D9*'Paramètres et valeurs'!D11*'Paramètres et valeurs'!D16*'Paramètres et valeurs'!D54</f>
        <v>0.11079838544990428</v>
      </c>
      <c r="F106" s="111">
        <f>D106+E106</f>
        <v>0.11202224971328482</v>
      </c>
      <c r="G106" s="110"/>
      <c r="H106" s="110"/>
      <c r="I106" s="111" t="e">
        <f>'Paramètres et valeurs'!#REF!*'Paramètres et valeurs'!#REF!*'Paramètres et valeurs'!#REF!*'Paramètres et valeurs'!#REF!</f>
        <v>#REF!</v>
      </c>
      <c r="J106" s="111" t="e">
        <f>'Paramètres et valeurs'!#REF!*'Paramètres et valeurs'!#REF!*'Paramètres et valeurs'!#REF!*'Paramètres et valeurs'!#REF!</f>
        <v>#REF!</v>
      </c>
    </row>
    <row r="107" spans="3:10" x14ac:dyDescent="0.25">
      <c r="C107" s="103" t="s">
        <v>37</v>
      </c>
      <c r="D107" s="106">
        <f>D106*'Paramètres et valeurs'!C55</f>
        <v>4651.313869334047</v>
      </c>
      <c r="E107" s="106">
        <f>E106*'Paramètres et valeurs'!D55</f>
        <v>262971.94582913548</v>
      </c>
      <c r="F107" s="106">
        <f>D107+E107</f>
        <v>267623.25969846954</v>
      </c>
      <c r="G107" s="83"/>
      <c r="H107" s="83"/>
      <c r="I107" s="106" t="e">
        <f>I106*'Paramètres et valeurs'!#REF!</f>
        <v>#REF!</v>
      </c>
      <c r="J107" s="106" t="e">
        <f>J106*'Paramètres et valeurs'!#REF!</f>
        <v>#REF!</v>
      </c>
    </row>
    <row r="108" spans="3:10" x14ac:dyDescent="0.25">
      <c r="C108" s="108" t="s">
        <v>57</v>
      </c>
      <c r="D108" s="108"/>
      <c r="E108" s="108"/>
      <c r="F108" s="108"/>
      <c r="G108" s="101"/>
      <c r="H108" s="101"/>
      <c r="I108" s="108"/>
      <c r="J108" s="108"/>
    </row>
    <row r="109" spans="3:10" x14ac:dyDescent="0.25">
      <c r="C109" s="105" t="s">
        <v>36</v>
      </c>
      <c r="D109" s="111">
        <f>'Paramètres et valeurs'!C9*'Paramètres et valeurs'!C11*'Paramètres et valeurs'!C16*'Paramètres et valeurs'!C63</f>
        <v>5.649788486297594E-4</v>
      </c>
      <c r="E109" s="111">
        <f>'Paramètres et valeurs'!D9*'Paramètres et valeurs'!D11*'Paramètres et valeurs'!D16*'Paramètres et valeurs'!D63</f>
        <v>3.5492680280791319E-2</v>
      </c>
      <c r="F109" s="111">
        <f>D109+E109</f>
        <v>3.6057659129421077E-2</v>
      </c>
      <c r="G109" s="110"/>
      <c r="H109" s="110"/>
      <c r="I109" s="111" t="e">
        <f>'Paramètres et valeurs'!#REF!*'Paramètres et valeurs'!#REF!*'Paramètres et valeurs'!#REF!*'Paramètres et valeurs'!#REF!</f>
        <v>#REF!</v>
      </c>
      <c r="J109" s="111" t="e">
        <f>'Paramètres et valeurs'!#REF!*'Paramètres et valeurs'!#REF!*'Paramètres et valeurs'!#REF!*'Paramètres et valeurs'!#REF!</f>
        <v>#REF!</v>
      </c>
    </row>
    <row r="110" spans="3:10" x14ac:dyDescent="0.25">
      <c r="C110" s="103" t="s">
        <v>37</v>
      </c>
      <c r="D110" s="106">
        <f>D109*'Paramètres et valeurs'!C64</f>
        <v>2140.4669925223684</v>
      </c>
      <c r="E110" s="106">
        <f>E109*'Paramètres et valeurs'!D64</f>
        <v>86159.137863165874</v>
      </c>
      <c r="F110" s="106">
        <f>D110+E110</f>
        <v>88299.604855688245</v>
      </c>
      <c r="G110" s="83"/>
      <c r="H110" s="83"/>
      <c r="I110" s="106" t="e">
        <f>I109*'Paramètres et valeurs'!#REF!</f>
        <v>#REF!</v>
      </c>
      <c r="J110" s="106" t="e">
        <f>J109*'Paramètres et valeurs'!#REF!</f>
        <v>#REF!</v>
      </c>
    </row>
    <row r="111" spans="3:10" x14ac:dyDescent="0.25">
      <c r="C111" s="108" t="s">
        <v>58</v>
      </c>
      <c r="D111" s="108"/>
      <c r="E111" s="108"/>
      <c r="F111" s="108"/>
      <c r="G111" s="101"/>
      <c r="H111" s="101"/>
      <c r="I111" s="108"/>
      <c r="J111" s="108"/>
    </row>
    <row r="112" spans="3:10" x14ac:dyDescent="0.25">
      <c r="C112" s="105" t="s">
        <v>36</v>
      </c>
      <c r="D112" s="111">
        <f>'Paramètres et valeurs'!C9*'Paramètres et valeurs'!C11*'Paramètres et valeurs'!C16*'Paramètres et valeurs'!C72</f>
        <v>1.1084053706087922E-4</v>
      </c>
      <c r="E112" s="111">
        <f>'Paramètres et valeurs'!D9*'Paramètres et valeurs'!D11*'Paramètres et valeurs'!D16*'Paramètres et valeurs'!D72</f>
        <v>3.0104913848117421E-2</v>
      </c>
      <c r="F112" s="111">
        <f>D112+E112</f>
        <v>3.02157543851783E-2</v>
      </c>
      <c r="G112" s="110"/>
      <c r="H112" s="110"/>
      <c r="I112" s="111" t="e">
        <f>'Paramètres et valeurs'!#REF!*'Paramètres et valeurs'!#REF!*'Paramètres et valeurs'!#REF!*'Paramètres et valeurs'!#REF!</f>
        <v>#REF!</v>
      </c>
      <c r="J112" s="111" t="e">
        <f>'Paramètres et valeurs'!#REF!*'Paramètres et valeurs'!#REF!*'Paramètres et valeurs'!#REF!*'Paramètres et valeurs'!#REF!</f>
        <v>#REF!</v>
      </c>
    </row>
    <row r="113" spans="3:10" x14ac:dyDescent="0.25">
      <c r="C113" s="103" t="s">
        <v>37</v>
      </c>
      <c r="D113" s="106">
        <f>D112*'Paramètres et valeurs'!C73</f>
        <v>420.39419858135994</v>
      </c>
      <c r="E113" s="106">
        <f>E112*'Paramètres et valeurs'!D73</f>
        <v>69211.591141139084</v>
      </c>
      <c r="F113" s="106">
        <f>D113+E113</f>
        <v>69631.985339720442</v>
      </c>
      <c r="G113" s="83"/>
      <c r="H113" s="83"/>
      <c r="I113" s="106" t="e">
        <f>I112*'Paramètres et valeurs'!#REF!</f>
        <v>#REF!</v>
      </c>
      <c r="J113" s="106" t="e">
        <f>J112*'Paramètres et valeurs'!#REF!</f>
        <v>#REF!</v>
      </c>
    </row>
    <row r="114" spans="3:10" x14ac:dyDescent="0.25">
      <c r="C114" s="108" t="s">
        <v>59</v>
      </c>
      <c r="D114" s="108"/>
      <c r="E114" s="108"/>
      <c r="F114" s="108"/>
      <c r="G114" s="101"/>
      <c r="H114" s="101"/>
      <c r="I114" s="108"/>
      <c r="J114" s="108"/>
    </row>
    <row r="115" spans="3:10" x14ac:dyDescent="0.25">
      <c r="C115" s="105" t="s">
        <v>36</v>
      </c>
      <c r="D115" s="111">
        <f>'Paramètres et valeurs'!C9*'Paramètres et valeurs'!C11*'Paramètres et valeurs'!C16*'Paramètres et valeurs'!C81</f>
        <v>1.8627368033842203E-4</v>
      </c>
      <c r="E115" s="111">
        <f>'Paramètres et valeurs'!D9*'Paramètres et valeurs'!D11*'Paramètres et valeurs'!D16*'Paramètres et valeurs'!D81</f>
        <v>3.8959087428206758E-2</v>
      </c>
      <c r="F115" s="111">
        <f>D115+E115</f>
        <v>3.9145361108545183E-2</v>
      </c>
      <c r="G115" s="110"/>
      <c r="H115" s="110"/>
      <c r="I115" s="111" t="e">
        <f>'Paramètres et valeurs'!#REF!*'Paramètres et valeurs'!#REF!*'Paramètres et valeurs'!#REF!*'Paramètres et valeurs'!#REF!</f>
        <v>#REF!</v>
      </c>
      <c r="J115" s="111" t="e">
        <f>'Paramètres et valeurs'!#REF!*'Paramètres et valeurs'!#REF!*'Paramètres et valeurs'!#REF!*'Paramètres et valeurs'!#REF!</f>
        <v>#REF!</v>
      </c>
    </row>
    <row r="116" spans="3:10" x14ac:dyDescent="0.25">
      <c r="C116" s="103" t="s">
        <v>37</v>
      </c>
      <c r="D116" s="106">
        <f>D115*'Paramètres et valeurs'!C82</f>
        <v>703.36496224072289</v>
      </c>
      <c r="E116" s="106">
        <f>E115*'Paramètres et valeurs'!D82</f>
        <v>95541.07616825914</v>
      </c>
      <c r="F116" s="106">
        <f>D116+E116</f>
        <v>96244.441130499865</v>
      </c>
      <c r="G116" s="83"/>
      <c r="H116" s="83"/>
      <c r="I116" s="106" t="e">
        <f>I115*'Paramètres et valeurs'!#REF!</f>
        <v>#REF!</v>
      </c>
      <c r="J116" s="106" t="e">
        <f>J115*'Paramètres et valeurs'!#REF!</f>
        <v>#REF!</v>
      </c>
    </row>
    <row r="117" spans="3:10" x14ac:dyDescent="0.25">
      <c r="C117" s="108" t="s">
        <v>60</v>
      </c>
      <c r="D117" s="108"/>
      <c r="E117" s="108"/>
      <c r="F117" s="108"/>
      <c r="G117" s="101"/>
      <c r="H117" s="101"/>
      <c r="I117" s="108"/>
      <c r="J117" s="108"/>
    </row>
    <row r="118" spans="3:10" x14ac:dyDescent="0.25">
      <c r="C118" s="105" t="s">
        <v>36</v>
      </c>
      <c r="D118" s="111">
        <f>'Paramètres et valeurs'!C9*'Paramètres et valeurs'!C11*'Paramètres et valeurs'!C16*'Paramètres et valeurs'!C90</f>
        <v>1.9089203604929198E-4</v>
      </c>
      <c r="E118" s="111">
        <f>'Paramètres et valeurs'!D9*'Paramètres et valeurs'!D11*'Paramètres et valeurs'!D16*'Paramètres et valeurs'!D90</f>
        <v>3.6176553924696868E-2</v>
      </c>
      <c r="F118" s="111">
        <f>D118+E118</f>
        <v>3.6367445960746161E-2</v>
      </c>
      <c r="G118" s="110"/>
      <c r="H118" s="110"/>
      <c r="I118" s="111" t="e">
        <f>'Paramètres et valeurs'!#REF!*'Paramètres et valeurs'!#REF!*'Paramètres et valeurs'!#REF!*'Paramètres et valeurs'!#REF!</f>
        <v>#REF!</v>
      </c>
      <c r="J118" s="111" t="e">
        <f>'Paramètres et valeurs'!#REF!*'Paramètres et valeurs'!#REF!*'Paramètres et valeurs'!#REF!*'Paramètres et valeurs'!#REF!</f>
        <v>#REF!</v>
      </c>
    </row>
    <row r="119" spans="3:10" x14ac:dyDescent="0.25">
      <c r="C119" s="103" t="s">
        <v>37</v>
      </c>
      <c r="D119" s="106">
        <f>D118*'Paramètres et valeurs'!C91</f>
        <v>728.23629372211258</v>
      </c>
      <c r="E119" s="106">
        <f>E118*'Paramètres et valeurs'!D91</f>
        <v>83729.260689129791</v>
      </c>
      <c r="F119" s="106">
        <f>D119+E119</f>
        <v>84457.49698285191</v>
      </c>
      <c r="G119" s="83"/>
      <c r="H119" s="83"/>
      <c r="I119" s="106" t="e">
        <f>I118*'Paramètres et valeurs'!#REF!</f>
        <v>#REF!</v>
      </c>
      <c r="J119" s="106" t="e">
        <f>J118*'Paramètres et valeurs'!#REF!</f>
        <v>#REF!</v>
      </c>
    </row>
    <row r="120" spans="3:10" x14ac:dyDescent="0.25">
      <c r="C120" s="108" t="s">
        <v>61</v>
      </c>
      <c r="D120" s="108"/>
      <c r="E120" s="108"/>
      <c r="F120" s="108"/>
      <c r="G120" s="101"/>
      <c r="H120" s="101"/>
      <c r="I120" s="108"/>
      <c r="J120" s="108"/>
    </row>
    <row r="121" spans="3:10" x14ac:dyDescent="0.25">
      <c r="C121" s="105" t="s">
        <v>36</v>
      </c>
      <c r="D121" s="111">
        <f>'Paramètres et valeurs'!C9*'Paramètres et valeurs'!C11*'Paramètres et valeurs'!C16*'Paramètres et valeurs'!C99</f>
        <v>1.5702409416957889E-4</v>
      </c>
      <c r="E121" s="111">
        <f>'Paramètres et valeurs'!D9*'Paramètres et valeurs'!D11*'Paramètres et valeurs'!D16*'Paramètres et valeurs'!D99</f>
        <v>4.3568902361199743E-2</v>
      </c>
      <c r="F121" s="111">
        <f>D121+E121</f>
        <v>4.3725926455369324E-2</v>
      </c>
      <c r="G121" s="110"/>
      <c r="H121" s="110"/>
      <c r="I121" s="111" t="e">
        <f>'Paramètres et valeurs'!#REF!*'Paramètres et valeurs'!#REF!*'Paramètres et valeurs'!#REF!*'Paramètres et valeurs'!#REF!</f>
        <v>#REF!</v>
      </c>
      <c r="J121" s="111" t="e">
        <f>'Paramètres et valeurs'!#REF!*'Paramètres et valeurs'!#REF!*'Paramètres et valeurs'!#REF!*'Paramètres et valeurs'!#REF!</f>
        <v>#REF!</v>
      </c>
    </row>
    <row r="122" spans="3:10" x14ac:dyDescent="0.25">
      <c r="C122" s="103" t="s">
        <v>37</v>
      </c>
      <c r="D122" s="106">
        <f>D121*'Paramètres et valeurs'!C100</f>
        <v>604.64460240930555</v>
      </c>
      <c r="E122" s="106">
        <f>E121*'Paramètres et valeurs'!D100</f>
        <v>98312.550943861483</v>
      </c>
      <c r="F122" s="106">
        <f>D122+E122</f>
        <v>98917.195546270785</v>
      </c>
      <c r="G122" s="83"/>
      <c r="H122" s="83"/>
      <c r="I122" s="106" t="e">
        <f>I121*'Paramètres et valeurs'!#REF!</f>
        <v>#REF!</v>
      </c>
      <c r="J122" s="106" t="e">
        <f>J121*'Paramètres et valeurs'!#REF!</f>
        <v>#REF!</v>
      </c>
    </row>
    <row r="123" spans="3:10" x14ac:dyDescent="0.25">
      <c r="C123" s="108" t="s">
        <v>62</v>
      </c>
      <c r="D123" s="108"/>
      <c r="E123" s="108"/>
      <c r="F123" s="108"/>
      <c r="G123" s="101"/>
      <c r="H123" s="101"/>
      <c r="I123" s="108"/>
      <c r="J123" s="108"/>
    </row>
    <row r="124" spans="3:10" x14ac:dyDescent="0.25">
      <c r="C124" s="105" t="s">
        <v>36</v>
      </c>
      <c r="D124" s="111">
        <f>'Paramètres et valeurs'!C9*'Paramètres et valeurs'!C11*'Paramètres et valeurs'!C16*'Paramètres et valeurs'!C108</f>
        <v>0</v>
      </c>
      <c r="E124" s="111">
        <f>'Paramètres et valeurs'!D9*'Paramètres et valeurs'!D11*'Paramètres et valeurs'!D16*'Paramètres et valeurs'!D108</f>
        <v>3.1429240587109129E-2</v>
      </c>
      <c r="F124" s="111">
        <f>D124+E124</f>
        <v>3.1429240587109129E-2</v>
      </c>
      <c r="G124" s="110"/>
      <c r="H124" s="110"/>
      <c r="I124" s="111" t="e">
        <f>'Paramètres et valeurs'!#REF!*'Paramètres et valeurs'!#REF!*'Paramètres et valeurs'!#REF!*'Paramètres et valeurs'!#REF!</f>
        <v>#REF!</v>
      </c>
      <c r="J124" s="111" t="e">
        <f>'Paramètres et valeurs'!#REF!*'Paramètres et valeurs'!#REF!*'Paramètres et valeurs'!#REF!*'Paramètres et valeurs'!#REF!</f>
        <v>#REF!</v>
      </c>
    </row>
    <row r="125" spans="3:10" x14ac:dyDescent="0.25">
      <c r="C125" s="103" t="s">
        <v>37</v>
      </c>
      <c r="D125" s="106">
        <f>D124*'Paramètres et valeurs'!C109</f>
        <v>0</v>
      </c>
      <c r="E125" s="106">
        <f>E124*'Paramètres et valeurs'!D109</f>
        <v>67571.956107310514</v>
      </c>
      <c r="F125" s="106">
        <f>D125+E125</f>
        <v>67571.956107310514</v>
      </c>
      <c r="G125" s="83"/>
      <c r="H125" s="83"/>
      <c r="I125" s="106" t="e">
        <f>I124*'Paramètres et valeurs'!#REF!</f>
        <v>#REF!</v>
      </c>
      <c r="J125" s="106" t="e">
        <f>J124*'Paramètres et valeurs'!#REF!</f>
        <v>#REF!</v>
      </c>
    </row>
    <row r="126" spans="3:10" x14ac:dyDescent="0.25">
      <c r="C126" s="108" t="s">
        <v>69</v>
      </c>
      <c r="D126" s="108"/>
      <c r="E126" s="108"/>
      <c r="F126" s="108"/>
      <c r="G126" s="101"/>
      <c r="H126" s="101"/>
      <c r="I126" s="108"/>
      <c r="J126" s="108"/>
    </row>
    <row r="127" spans="3:10" x14ac:dyDescent="0.25">
      <c r="C127" s="105" t="s">
        <v>36</v>
      </c>
      <c r="D127" s="111">
        <f>'Paramètres et valeurs'!C9*'Paramètres et valeurs'!C11*'Paramètres et valeurs'!C16*'Paramètres et valeurs'!C117</f>
        <v>9.2367114217399348E-6</v>
      </c>
      <c r="E127" s="111">
        <f>'Paramètres et valeurs'!D9*'Paramètres et valeurs'!D11*'Paramètres et valeurs'!D16*'Paramètres et valeurs'!D117</f>
        <v>1.2505118059987236E-2</v>
      </c>
      <c r="F127" s="111">
        <f>D127+E127</f>
        <v>1.2514354771408977E-2</v>
      </c>
      <c r="G127" s="110"/>
      <c r="H127" s="110"/>
      <c r="I127" s="111" t="e">
        <f>'Paramètres et valeurs'!#REF!*'Paramètres et valeurs'!#REF!*'Paramètres et valeurs'!#REF!*'Paramètres et valeurs'!#REF!</f>
        <v>#REF!</v>
      </c>
      <c r="J127" s="111" t="e">
        <f>'Paramètres et valeurs'!#REF!*'Paramètres et valeurs'!#REF!*'Paramètres et valeurs'!#REF!*'Paramètres et valeurs'!#REF!</f>
        <v>#REF!</v>
      </c>
    </row>
    <row r="128" spans="3:10" x14ac:dyDescent="0.25">
      <c r="C128" s="103" t="s">
        <v>37</v>
      </c>
      <c r="D128" s="106">
        <f>D127*'Paramètres et valeurs'!C118</f>
        <v>35.673784290559226</v>
      </c>
      <c r="E128" s="106">
        <f>E127*'Paramètres et valeurs'!D118</f>
        <v>25972.948452950852</v>
      </c>
      <c r="F128" s="106">
        <f>D128+E128</f>
        <v>26008.622237241412</v>
      </c>
      <c r="G128" s="83"/>
      <c r="H128" s="83"/>
      <c r="I128" s="106" t="e">
        <f>I127*'Paramètres et valeurs'!#REF!</f>
        <v>#REF!</v>
      </c>
      <c r="J128" s="106" t="e">
        <f>J127*'Paramètres et valeurs'!#REF!</f>
        <v>#REF!</v>
      </c>
    </row>
    <row r="129" spans="7:8" x14ac:dyDescent="0.25">
      <c r="G129" s="41"/>
      <c r="H129" s="41"/>
    </row>
  </sheetData>
  <sheetProtection algorithmName="SHA-512" hashValue="iES5Lvkh66DiJICoTUVAeM4Rcyrj9/VvevzPbBnQuMSnCK5KBv+n2GGv6T1FvzrwMy4UQMjtuPwT8XVDStgthg==" saltValue="a3+mJ6oPUuYq5zg3fvHJ3g==" spinCount="100000" sheet="1" objects="1" scenarios="1"/>
  <mergeCells count="5">
    <mergeCell ref="C91:J91"/>
    <mergeCell ref="C1:K1"/>
    <mergeCell ref="C19:K19"/>
    <mergeCell ref="C23:K23"/>
    <mergeCell ref="C92:F9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9"/>
  <sheetViews>
    <sheetView zoomScale="70" zoomScaleNormal="70" workbookViewId="0">
      <pane ySplit="7" topLeftCell="A8" activePane="bottomLeft" state="frozen"/>
      <selection activeCell="C1" sqref="C1"/>
      <selection pane="bottomLeft" activeCell="B28" sqref="B28"/>
    </sheetView>
  </sheetViews>
  <sheetFormatPr baseColWidth="10" defaultColWidth="11.42578125" defaultRowHeight="15" x14ac:dyDescent="0.25"/>
  <cols>
    <col min="1" max="1" width="2.5703125" style="112" customWidth="1"/>
    <col min="2" max="2" width="71.7109375" style="112" customWidth="1"/>
    <col min="3" max="3" width="28.140625" style="112" customWidth="1"/>
    <col min="4" max="4" width="27.5703125" style="112" customWidth="1"/>
    <col min="5" max="5" width="25.7109375" style="114" customWidth="1"/>
    <col min="6" max="6" width="27.42578125" style="114" customWidth="1"/>
    <col min="7" max="7" width="83.85546875" style="242" customWidth="1"/>
    <col min="8" max="16384" width="11.42578125" style="112"/>
  </cols>
  <sheetData>
    <row r="1" spans="2:9" ht="19.5" customHeight="1" x14ac:dyDescent="0.25">
      <c r="B1" s="323" t="s">
        <v>70</v>
      </c>
      <c r="C1" s="323"/>
      <c r="D1" s="323"/>
      <c r="E1" s="323"/>
      <c r="F1" s="323"/>
      <c r="G1" s="323"/>
    </row>
    <row r="2" spans="2:9" ht="12.75" customHeight="1" x14ac:dyDescent="0.25">
      <c r="B2" s="288"/>
      <c r="C2" s="288"/>
      <c r="D2" s="288"/>
      <c r="E2" s="288"/>
      <c r="F2" s="288"/>
      <c r="G2" s="184"/>
    </row>
    <row r="3" spans="2:9" x14ac:dyDescent="0.25">
      <c r="B3" s="311" t="s">
        <v>168</v>
      </c>
      <c r="C3" s="153"/>
      <c r="D3" s="153"/>
      <c r="E3" s="185"/>
      <c r="F3" s="185"/>
      <c r="G3" s="186"/>
    </row>
    <row r="4" spans="2:9" s="153" customFormat="1" x14ac:dyDescent="0.25">
      <c r="B4" s="187" t="s">
        <v>71</v>
      </c>
      <c r="E4" s="185"/>
      <c r="F4" s="185"/>
      <c r="G4" s="188"/>
      <c r="I4" s="305"/>
    </row>
    <row r="5" spans="2:9" s="153" customFormat="1" ht="15.75" thickBot="1" x14ac:dyDescent="0.3">
      <c r="B5" s="189" t="s">
        <v>72</v>
      </c>
      <c r="E5" s="185"/>
      <c r="F5" s="185"/>
      <c r="G5" s="188"/>
    </row>
    <row r="6" spans="2:9" ht="53.25" customHeight="1" x14ac:dyDescent="0.25">
      <c r="B6" s="190"/>
      <c r="C6" s="294" t="s">
        <v>19</v>
      </c>
      <c r="D6" s="295" t="s">
        <v>20</v>
      </c>
      <c r="E6" s="296" t="s">
        <v>73</v>
      </c>
      <c r="F6" s="297" t="s">
        <v>74</v>
      </c>
      <c r="G6" s="321" t="s">
        <v>181</v>
      </c>
      <c r="H6" s="293"/>
    </row>
    <row r="7" spans="2:9" s="192" customFormat="1" ht="45" customHeight="1" x14ac:dyDescent="0.25">
      <c r="B7" s="191" t="s">
        <v>76</v>
      </c>
      <c r="C7" s="298" t="s">
        <v>175</v>
      </c>
      <c r="D7" s="299" t="s">
        <v>176</v>
      </c>
      <c r="E7" s="300" t="s">
        <v>177</v>
      </c>
      <c r="F7" s="301" t="s">
        <v>178</v>
      </c>
      <c r="G7" s="322"/>
    </row>
    <row r="8" spans="2:9" x14ac:dyDescent="0.25">
      <c r="B8" s="193" t="s">
        <v>77</v>
      </c>
      <c r="C8" s="193"/>
      <c r="D8" s="194"/>
      <c r="E8" s="195"/>
      <c r="F8" s="196"/>
      <c r="G8" s="197"/>
    </row>
    <row r="9" spans="2:9" s="200" customFormat="1" x14ac:dyDescent="0.25">
      <c r="B9" s="198" t="s">
        <v>78</v>
      </c>
      <c r="C9" s="312">
        <v>10000</v>
      </c>
      <c r="D9" s="313">
        <v>10000</v>
      </c>
      <c r="E9" s="243">
        <f t="shared" ref="E9:F12" si="0">C9</f>
        <v>10000</v>
      </c>
      <c r="F9" s="244">
        <f t="shared" si="0"/>
        <v>10000</v>
      </c>
      <c r="G9" s="199" t="s">
        <v>79</v>
      </c>
    </row>
    <row r="10" spans="2:9" x14ac:dyDescent="0.25">
      <c r="B10" s="201" t="s">
        <v>80</v>
      </c>
      <c r="C10" s="202">
        <v>0.40500000000000003</v>
      </c>
      <c r="D10" s="203">
        <v>0.378</v>
      </c>
      <c r="E10" s="245">
        <f t="shared" si="0"/>
        <v>0.40500000000000003</v>
      </c>
      <c r="F10" s="246">
        <f t="shared" si="0"/>
        <v>0.378</v>
      </c>
      <c r="G10" s="204" t="s">
        <v>81</v>
      </c>
    </row>
    <row r="11" spans="2:9" x14ac:dyDescent="0.25">
      <c r="B11" s="198" t="s">
        <v>82</v>
      </c>
      <c r="C11" s="315">
        <v>0.1</v>
      </c>
      <c r="D11" s="314">
        <v>0.1</v>
      </c>
      <c r="E11" s="247">
        <f t="shared" si="0"/>
        <v>0.1</v>
      </c>
      <c r="F11" s="248">
        <f t="shared" si="0"/>
        <v>0.1</v>
      </c>
      <c r="G11" s="199" t="s">
        <v>79</v>
      </c>
    </row>
    <row r="12" spans="2:9" x14ac:dyDescent="0.25">
      <c r="B12" s="201" t="s">
        <v>83</v>
      </c>
      <c r="C12" s="249">
        <f>C10*(1-C11)</f>
        <v>0.36450000000000005</v>
      </c>
      <c r="D12" s="250">
        <f>D10*(1-D11)</f>
        <v>0.3402</v>
      </c>
      <c r="E12" s="247">
        <f t="shared" si="0"/>
        <v>0.36450000000000005</v>
      </c>
      <c r="F12" s="248">
        <f t="shared" si="0"/>
        <v>0.3402</v>
      </c>
      <c r="G12" s="199" t="s">
        <v>84</v>
      </c>
    </row>
    <row r="13" spans="2:9" x14ac:dyDescent="0.25">
      <c r="B13" s="205" t="s">
        <v>35</v>
      </c>
      <c r="C13" s="205"/>
      <c r="D13" s="206"/>
      <c r="E13" s="195"/>
      <c r="F13" s="196"/>
      <c r="G13" s="207"/>
    </row>
    <row r="14" spans="2:9" s="153" customFormat="1" x14ac:dyDescent="0.25">
      <c r="B14" s="208" t="s">
        <v>85</v>
      </c>
      <c r="C14" s="209">
        <v>0.31</v>
      </c>
      <c r="D14" s="210">
        <v>0.6</v>
      </c>
      <c r="E14" s="251">
        <f t="shared" ref="E14:F18" si="1">C14</f>
        <v>0.31</v>
      </c>
      <c r="F14" s="252">
        <f t="shared" si="1"/>
        <v>0.6</v>
      </c>
      <c r="G14" s="199" t="s">
        <v>86</v>
      </c>
    </row>
    <row r="15" spans="2:9" x14ac:dyDescent="0.25">
      <c r="B15" s="211" t="s">
        <v>87</v>
      </c>
      <c r="C15" s="261">
        <f>1/(1-C14)</f>
        <v>1.4492753623188408</v>
      </c>
      <c r="D15" s="262">
        <f t="shared" ref="D15" si="2">1/(1-D14)</f>
        <v>2.5</v>
      </c>
      <c r="E15" s="253">
        <f t="shared" si="1"/>
        <v>1.4492753623188408</v>
      </c>
      <c r="F15" s="254">
        <f t="shared" si="1"/>
        <v>2.5</v>
      </c>
      <c r="G15" s="199" t="s">
        <v>84</v>
      </c>
    </row>
    <row r="16" spans="2:9" s="200" customFormat="1" x14ac:dyDescent="0.25">
      <c r="B16" s="212" t="s">
        <v>88</v>
      </c>
      <c r="C16" s="263">
        <f>C10*(C15-1)/(C10*(C15-1)+1)</f>
        <v>0.15394519036233226</v>
      </c>
      <c r="D16" s="264">
        <f>D10*(D15-1)/(D10*(D15-1)+1)</f>
        <v>0.36183790682833439</v>
      </c>
      <c r="E16" s="255">
        <f t="shared" si="1"/>
        <v>0.15394519036233226</v>
      </c>
      <c r="F16" s="256">
        <f t="shared" si="1"/>
        <v>0.36183790682833439</v>
      </c>
      <c r="G16" s="199" t="s">
        <v>84</v>
      </c>
    </row>
    <row r="17" spans="2:7" s="200" customFormat="1" x14ac:dyDescent="0.25">
      <c r="B17" s="212" t="s">
        <v>89</v>
      </c>
      <c r="C17" s="281">
        <f>0.595/1000</f>
        <v>5.9499999999999993E-4</v>
      </c>
      <c r="D17" s="282">
        <f>6.688/1000</f>
        <v>6.6879999999999995E-3</v>
      </c>
      <c r="E17" s="257">
        <f t="shared" si="1"/>
        <v>5.9499999999999993E-4</v>
      </c>
      <c r="F17" s="258">
        <f t="shared" si="1"/>
        <v>6.6879999999999995E-3</v>
      </c>
      <c r="G17" s="204" t="s">
        <v>90</v>
      </c>
    </row>
    <row r="18" spans="2:7" s="217" customFormat="1" x14ac:dyDescent="0.25">
      <c r="B18" s="213" t="s">
        <v>91</v>
      </c>
      <c r="C18" s="214">
        <v>3428000</v>
      </c>
      <c r="D18" s="215">
        <v>3428000</v>
      </c>
      <c r="E18" s="259">
        <f t="shared" si="1"/>
        <v>3428000</v>
      </c>
      <c r="F18" s="260">
        <f t="shared" si="1"/>
        <v>3428000</v>
      </c>
      <c r="G18" s="216" t="s">
        <v>92</v>
      </c>
    </row>
    <row r="19" spans="2:7" x14ac:dyDescent="0.25">
      <c r="B19" s="205" t="s">
        <v>38</v>
      </c>
      <c r="C19" s="205"/>
      <c r="D19" s="206"/>
      <c r="E19" s="195"/>
      <c r="F19" s="196"/>
      <c r="G19" s="207"/>
    </row>
    <row r="20" spans="2:7" x14ac:dyDescent="0.25">
      <c r="B20" s="218" t="s">
        <v>49</v>
      </c>
      <c r="C20" s="218"/>
      <c r="D20" s="219"/>
      <c r="E20" s="220"/>
      <c r="F20" s="221"/>
      <c r="G20" s="222"/>
    </row>
    <row r="21" spans="2:7" x14ac:dyDescent="0.25">
      <c r="B21" s="208" t="s">
        <v>93</v>
      </c>
      <c r="C21" s="223">
        <v>0.2</v>
      </c>
      <c r="D21" s="224">
        <v>0.5</v>
      </c>
      <c r="E21" s="265">
        <f t="shared" ref="E21:F25" si="3">C21</f>
        <v>0.2</v>
      </c>
      <c r="F21" s="266">
        <f t="shared" si="3"/>
        <v>0.5</v>
      </c>
      <c r="G21" s="199" t="s">
        <v>94</v>
      </c>
    </row>
    <row r="22" spans="2:7" x14ac:dyDescent="0.25">
      <c r="B22" s="211" t="s">
        <v>95</v>
      </c>
      <c r="C22" s="261">
        <f>1/(1-C21)</f>
        <v>1.25</v>
      </c>
      <c r="D22" s="262">
        <f t="shared" ref="D22" si="4">1/(1-D21)</f>
        <v>2</v>
      </c>
      <c r="E22" s="253">
        <f t="shared" si="3"/>
        <v>1.25</v>
      </c>
      <c r="F22" s="254">
        <f t="shared" si="3"/>
        <v>2</v>
      </c>
      <c r="G22" s="199" t="s">
        <v>84</v>
      </c>
    </row>
    <row r="23" spans="2:7" s="200" customFormat="1" x14ac:dyDescent="0.25">
      <c r="B23" s="212" t="s">
        <v>96</v>
      </c>
      <c r="C23" s="263">
        <f>C10*(C22-1)/(C10*(C22-1)+1)</f>
        <v>9.1940976163450622E-2</v>
      </c>
      <c r="D23" s="264">
        <f>D10*(D22-1)/(D10*(D22-1)+1)</f>
        <v>0.27431059506531202</v>
      </c>
      <c r="E23" s="255">
        <f t="shared" si="3"/>
        <v>9.1940976163450622E-2</v>
      </c>
      <c r="F23" s="256">
        <f t="shared" si="3"/>
        <v>0.27431059506531202</v>
      </c>
      <c r="G23" s="199" t="s">
        <v>84</v>
      </c>
    </row>
    <row r="24" spans="2:7" s="200" customFormat="1" x14ac:dyDescent="0.25">
      <c r="B24" s="212" t="s">
        <v>97</v>
      </c>
      <c r="C24" s="281">
        <f>32.909/100000</f>
        <v>3.2908999999999998E-4</v>
      </c>
      <c r="D24" s="283">
        <f>390.735/100000</f>
        <v>3.9073500000000004E-3</v>
      </c>
      <c r="E24" s="257">
        <f t="shared" si="3"/>
        <v>3.2908999999999998E-4</v>
      </c>
      <c r="F24" s="258">
        <f t="shared" si="3"/>
        <v>3.9073500000000004E-3</v>
      </c>
      <c r="G24" s="199" t="s">
        <v>98</v>
      </c>
    </row>
    <row r="25" spans="2:7" s="217" customFormat="1" x14ac:dyDescent="0.25">
      <c r="B25" s="213" t="s">
        <v>99</v>
      </c>
      <c r="C25" s="267">
        <f>Annexe!N14</f>
        <v>20937.831878696357</v>
      </c>
      <c r="D25" s="268">
        <f>Annexe!N40</f>
        <v>20937.831878696365</v>
      </c>
      <c r="E25" s="259">
        <f t="shared" si="3"/>
        <v>20937.831878696357</v>
      </c>
      <c r="F25" s="260">
        <f t="shared" si="3"/>
        <v>20937.831878696365</v>
      </c>
      <c r="G25" s="216" t="s">
        <v>100</v>
      </c>
    </row>
    <row r="26" spans="2:7" s="217" customFormat="1" x14ac:dyDescent="0.25">
      <c r="B26" s="213" t="s">
        <v>101</v>
      </c>
      <c r="C26" s="267">
        <f>Annexe!I14</f>
        <v>13989.894432343121</v>
      </c>
      <c r="D26" s="268">
        <f>Annexe!I40</f>
        <v>25382.39929806759</v>
      </c>
      <c r="E26" s="259">
        <f>Annexe!J14</f>
        <v>6994.9472161715603</v>
      </c>
      <c r="F26" s="260">
        <f>Annexe!J40</f>
        <v>12691.199649033795</v>
      </c>
      <c r="G26" s="216" t="s">
        <v>100</v>
      </c>
    </row>
    <row r="27" spans="2:7" s="228" customFormat="1" x14ac:dyDescent="0.25">
      <c r="B27" s="225" t="s">
        <v>102</v>
      </c>
      <c r="C27" s="226">
        <f>1.47/100000</f>
        <v>1.47E-5</v>
      </c>
      <c r="D27" s="284">
        <f>47.014/100000</f>
        <v>4.7014000000000002E-4</v>
      </c>
      <c r="E27" s="269">
        <f>C27</f>
        <v>1.47E-5</v>
      </c>
      <c r="F27" s="270">
        <f>D27</f>
        <v>4.7014000000000002E-4</v>
      </c>
      <c r="G27" s="227" t="s">
        <v>98</v>
      </c>
    </row>
    <row r="28" spans="2:7" s="231" customFormat="1" x14ac:dyDescent="0.25">
      <c r="B28" s="229" t="s">
        <v>103</v>
      </c>
      <c r="C28" s="271">
        <f>Annexe!L14</f>
        <v>3795831.9008185812</v>
      </c>
      <c r="D28" s="272">
        <f>Annexe!L40</f>
        <v>2405019.4799632137</v>
      </c>
      <c r="E28" s="272">
        <f>C28</f>
        <v>3795831.9008185812</v>
      </c>
      <c r="F28" s="273">
        <f>D28</f>
        <v>2405019.4799632137</v>
      </c>
      <c r="G28" s="230" t="s">
        <v>100</v>
      </c>
    </row>
    <row r="29" spans="2:7" x14ac:dyDescent="0.25">
      <c r="B29" s="218" t="s">
        <v>104</v>
      </c>
      <c r="C29" s="218"/>
      <c r="D29" s="219"/>
      <c r="E29" s="220"/>
      <c r="F29" s="221"/>
      <c r="G29" s="222"/>
    </row>
    <row r="30" spans="2:7" x14ac:dyDescent="0.25">
      <c r="B30" s="208" t="s">
        <v>93</v>
      </c>
      <c r="C30" s="232">
        <v>0.2</v>
      </c>
      <c r="D30" s="233">
        <v>0.6</v>
      </c>
      <c r="E30" s="265">
        <f t="shared" ref="E30:F34" si="5">C30</f>
        <v>0.2</v>
      </c>
      <c r="F30" s="266">
        <f t="shared" si="5"/>
        <v>0.6</v>
      </c>
      <c r="G30" s="234" t="s">
        <v>105</v>
      </c>
    </row>
    <row r="31" spans="2:7" x14ac:dyDescent="0.25">
      <c r="B31" s="211" t="s">
        <v>95</v>
      </c>
      <c r="C31" s="261">
        <f>1/(1-C30)</f>
        <v>1.25</v>
      </c>
      <c r="D31" s="262">
        <f t="shared" ref="D31" si="6">1/(1-D30)</f>
        <v>2.5</v>
      </c>
      <c r="E31" s="253">
        <f t="shared" si="5"/>
        <v>1.25</v>
      </c>
      <c r="F31" s="254">
        <f t="shared" si="5"/>
        <v>2.5</v>
      </c>
      <c r="G31" s="199" t="s">
        <v>84</v>
      </c>
    </row>
    <row r="32" spans="2:7" s="200" customFormat="1" x14ac:dyDescent="0.25">
      <c r="B32" s="212" t="s">
        <v>96</v>
      </c>
      <c r="C32" s="263">
        <f>C10*(C31-1)/(C10*(C31-1)+1)</f>
        <v>9.1940976163450622E-2</v>
      </c>
      <c r="D32" s="264">
        <f>D10*(D31-1)/(D10*(D31-1)+1)</f>
        <v>0.36183790682833439</v>
      </c>
      <c r="E32" s="255">
        <f t="shared" si="5"/>
        <v>9.1940976163450622E-2</v>
      </c>
      <c r="F32" s="256">
        <f t="shared" si="5"/>
        <v>0.36183790682833439</v>
      </c>
      <c r="G32" s="199" t="s">
        <v>84</v>
      </c>
    </row>
    <row r="33" spans="2:7" s="200" customFormat="1" x14ac:dyDescent="0.25">
      <c r="B33" s="212" t="s">
        <v>97</v>
      </c>
      <c r="C33" s="281">
        <f>8.576/100000</f>
        <v>8.5760000000000006E-5</v>
      </c>
      <c r="D33" s="283">
        <f>83.484/100000</f>
        <v>8.3484E-4</v>
      </c>
      <c r="E33" s="257">
        <f t="shared" si="5"/>
        <v>8.5760000000000006E-5</v>
      </c>
      <c r="F33" s="258">
        <f t="shared" si="5"/>
        <v>8.3484E-4</v>
      </c>
      <c r="G33" s="199" t="s">
        <v>98</v>
      </c>
    </row>
    <row r="34" spans="2:7" s="217" customFormat="1" x14ac:dyDescent="0.25">
      <c r="B34" s="213" t="s">
        <v>106</v>
      </c>
      <c r="C34" s="267">
        <f>Annexe!N16</f>
        <v>38946.327078413138</v>
      </c>
      <c r="D34" s="268">
        <f>Annexe!N42</f>
        <v>38946.327078413138</v>
      </c>
      <c r="E34" s="259">
        <f t="shared" si="5"/>
        <v>38946.327078413138</v>
      </c>
      <c r="F34" s="260">
        <f t="shared" si="5"/>
        <v>38946.327078413138</v>
      </c>
      <c r="G34" s="216" t="s">
        <v>100</v>
      </c>
    </row>
    <row r="35" spans="2:7" s="217" customFormat="1" x14ac:dyDescent="0.25">
      <c r="B35" s="213" t="s">
        <v>101</v>
      </c>
      <c r="C35" s="267">
        <f>Annexe!I16</f>
        <v>158069.49466788935</v>
      </c>
      <c r="D35" s="268">
        <f>Annexe!I42</f>
        <v>165209.18482833775</v>
      </c>
      <c r="E35" s="259">
        <f>Annexe!J16</f>
        <v>79034.747333944673</v>
      </c>
      <c r="F35" s="260">
        <f>Annexe!J42</f>
        <v>82604.592414168874</v>
      </c>
      <c r="G35" s="216" t="s">
        <v>100</v>
      </c>
    </row>
    <row r="36" spans="2:7" s="228" customFormat="1" x14ac:dyDescent="0.25">
      <c r="B36" s="225" t="s">
        <v>102</v>
      </c>
      <c r="C36" s="226">
        <f>0.093/100000</f>
        <v>9.2999999999999999E-7</v>
      </c>
      <c r="D36" s="284">
        <f>8.628/100000</f>
        <v>8.6280000000000007E-5</v>
      </c>
      <c r="E36" s="269">
        <f>C36</f>
        <v>9.2999999999999999E-7</v>
      </c>
      <c r="F36" s="270">
        <f>D36</f>
        <v>8.6280000000000007E-5</v>
      </c>
      <c r="G36" s="227" t="s">
        <v>98</v>
      </c>
    </row>
    <row r="37" spans="2:7" s="231" customFormat="1" x14ac:dyDescent="0.25">
      <c r="B37" s="229" t="s">
        <v>103</v>
      </c>
      <c r="C37" s="271">
        <f>Annexe!L16</f>
        <v>3827978.5805833908</v>
      </c>
      <c r="D37" s="272">
        <f>Annexe!L42</f>
        <v>2195989.6824068255</v>
      </c>
      <c r="E37" s="272">
        <f>C37</f>
        <v>3827978.5805833908</v>
      </c>
      <c r="F37" s="273">
        <f>D37</f>
        <v>2195989.6824068255</v>
      </c>
      <c r="G37" s="230" t="s">
        <v>100</v>
      </c>
    </row>
    <row r="38" spans="2:7" x14ac:dyDescent="0.25">
      <c r="B38" s="218" t="s">
        <v>55</v>
      </c>
      <c r="C38" s="218"/>
      <c r="D38" s="219"/>
      <c r="E38" s="220"/>
      <c r="F38" s="221"/>
      <c r="G38" s="222"/>
    </row>
    <row r="39" spans="2:7" x14ac:dyDescent="0.25">
      <c r="B39" s="208" t="s">
        <v>93</v>
      </c>
      <c r="C39" s="223">
        <v>0.19</v>
      </c>
      <c r="D39" s="224">
        <v>0.27</v>
      </c>
      <c r="E39" s="265">
        <f t="shared" ref="E39:F43" si="7">C39</f>
        <v>0.19</v>
      </c>
      <c r="F39" s="266">
        <f t="shared" si="7"/>
        <v>0.27</v>
      </c>
      <c r="G39" s="199" t="s">
        <v>107</v>
      </c>
    </row>
    <row r="40" spans="2:7" x14ac:dyDescent="0.25">
      <c r="B40" s="211" t="s">
        <v>95</v>
      </c>
      <c r="C40" s="261">
        <f>1/(1-C39)</f>
        <v>1.2345679012345678</v>
      </c>
      <c r="D40" s="262">
        <f t="shared" ref="D40" si="8">1/(1-D39)</f>
        <v>1.3698630136986301</v>
      </c>
      <c r="E40" s="253">
        <f t="shared" si="7"/>
        <v>1.2345679012345678</v>
      </c>
      <c r="F40" s="254">
        <f t="shared" si="7"/>
        <v>1.3698630136986301</v>
      </c>
      <c r="G40" s="199" t="s">
        <v>84</v>
      </c>
    </row>
    <row r="41" spans="2:7" s="200" customFormat="1" x14ac:dyDescent="0.25">
      <c r="B41" s="212" t="s">
        <v>96</v>
      </c>
      <c r="C41" s="263">
        <f>C10*(C40-1)/(C10*(C40-1)+1)</f>
        <v>8.675799086757989E-2</v>
      </c>
      <c r="D41" s="264">
        <f>D10*(D40-1)/(D10*(D40-1)+1)</f>
        <v>0.12265942359925965</v>
      </c>
      <c r="E41" s="255">
        <f t="shared" si="7"/>
        <v>8.675799086757989E-2</v>
      </c>
      <c r="F41" s="256">
        <f t="shared" si="7"/>
        <v>0.12265942359925965</v>
      </c>
      <c r="G41" s="199" t="s">
        <v>84</v>
      </c>
    </row>
    <row r="42" spans="2:7" s="200" customFormat="1" x14ac:dyDescent="0.25">
      <c r="B42" s="212" t="s">
        <v>97</v>
      </c>
      <c r="C42" s="281">
        <f>14.623/100000</f>
        <v>1.4622999999999999E-4</v>
      </c>
      <c r="D42" s="283">
        <f>123.806/100000</f>
        <v>1.23806E-3</v>
      </c>
      <c r="E42" s="257">
        <f t="shared" si="7"/>
        <v>1.4622999999999999E-4</v>
      </c>
      <c r="F42" s="258">
        <f t="shared" si="7"/>
        <v>1.23806E-3</v>
      </c>
      <c r="G42" s="199" t="s">
        <v>98</v>
      </c>
    </row>
    <row r="43" spans="2:7" s="217" customFormat="1" x14ac:dyDescent="0.25">
      <c r="B43" s="213" t="s">
        <v>106</v>
      </c>
      <c r="C43" s="267">
        <f>Annexe!N18</f>
        <v>46968.351598059344</v>
      </c>
      <c r="D43" s="268">
        <f>Annexe!N44</f>
        <v>46968.351598059344</v>
      </c>
      <c r="E43" s="259">
        <f t="shared" si="7"/>
        <v>46968.351598059344</v>
      </c>
      <c r="F43" s="260">
        <f t="shared" si="7"/>
        <v>46968.351598059344</v>
      </c>
      <c r="G43" s="216" t="s">
        <v>100</v>
      </c>
    </row>
    <row r="44" spans="2:7" s="217" customFormat="1" x14ac:dyDescent="0.25">
      <c r="B44" s="213" t="s">
        <v>101</v>
      </c>
      <c r="C44" s="267">
        <f>Annexe!I18</f>
        <v>109361.25797860834</v>
      </c>
      <c r="D44" s="268">
        <f>Annexe!I44</f>
        <v>89550.357078035289</v>
      </c>
      <c r="E44" s="259">
        <f>Annexe!J18</f>
        <v>54680.628989304168</v>
      </c>
      <c r="F44" s="260">
        <f>Annexe!J44</f>
        <v>44775.178539017645</v>
      </c>
      <c r="G44" s="216" t="s">
        <v>100</v>
      </c>
    </row>
    <row r="45" spans="2:7" s="228" customFormat="1" x14ac:dyDescent="0.25">
      <c r="B45" s="225" t="s">
        <v>102</v>
      </c>
      <c r="C45" s="226">
        <f>1.68/100000</f>
        <v>1.6799999999999998E-5</v>
      </c>
      <c r="D45" s="284">
        <f>24.986/100000</f>
        <v>2.4986000000000002E-4</v>
      </c>
      <c r="E45" s="269">
        <f>C45</f>
        <v>1.6799999999999998E-5</v>
      </c>
      <c r="F45" s="270">
        <f>D45</f>
        <v>2.4986000000000002E-4</v>
      </c>
      <c r="G45" s="227" t="s">
        <v>98</v>
      </c>
    </row>
    <row r="46" spans="2:7" s="231" customFormat="1" x14ac:dyDescent="0.25">
      <c r="B46" s="229" t="s">
        <v>103</v>
      </c>
      <c r="C46" s="271">
        <f>Annexe!L18</f>
        <v>3770989.8290126137</v>
      </c>
      <c r="D46" s="272">
        <f>Annexe!L44</f>
        <v>2547207.343925301</v>
      </c>
      <c r="E46" s="272">
        <f>C46</f>
        <v>3770989.8290126137</v>
      </c>
      <c r="F46" s="273">
        <f>D46</f>
        <v>2547207.343925301</v>
      </c>
      <c r="G46" s="230" t="s">
        <v>100</v>
      </c>
    </row>
    <row r="47" spans="2:7" x14ac:dyDescent="0.25">
      <c r="B47" s="218" t="s">
        <v>56</v>
      </c>
      <c r="C47" s="218"/>
      <c r="D47" s="219"/>
      <c r="E47" s="220"/>
      <c r="F47" s="221"/>
      <c r="G47" s="222"/>
    </row>
    <row r="48" spans="2:7" x14ac:dyDescent="0.25">
      <c r="B48" s="208" t="s">
        <v>93</v>
      </c>
      <c r="C48" s="223">
        <v>0.21</v>
      </c>
      <c r="D48" s="224">
        <v>0.27</v>
      </c>
      <c r="E48" s="265">
        <f t="shared" ref="E48:F52" si="9">C48</f>
        <v>0.21</v>
      </c>
      <c r="F48" s="266">
        <f t="shared" si="9"/>
        <v>0.27</v>
      </c>
      <c r="G48" s="199" t="s">
        <v>107</v>
      </c>
    </row>
    <row r="49" spans="2:7" x14ac:dyDescent="0.25">
      <c r="B49" s="211" t="s">
        <v>95</v>
      </c>
      <c r="C49" s="261">
        <f>1/(1-C48)</f>
        <v>1.2658227848101264</v>
      </c>
      <c r="D49" s="262">
        <f t="shared" ref="D49" si="10">1/(1-D48)</f>
        <v>1.3698630136986301</v>
      </c>
      <c r="E49" s="253">
        <f t="shared" si="9"/>
        <v>1.2658227848101264</v>
      </c>
      <c r="F49" s="254">
        <f t="shared" si="9"/>
        <v>1.3698630136986301</v>
      </c>
      <c r="G49" s="199" t="s">
        <v>84</v>
      </c>
    </row>
    <row r="50" spans="2:7" s="200" customFormat="1" x14ac:dyDescent="0.25">
      <c r="B50" s="212" t="s">
        <v>96</v>
      </c>
      <c r="C50" s="263">
        <f>C10*(C49-1)/(C10*(C49-1)+1)</f>
        <v>9.7194446031655293E-2</v>
      </c>
      <c r="D50" s="264">
        <f>D10*(D49-1)/(D10*(D49-1)+1)</f>
        <v>0.12265942359925965</v>
      </c>
      <c r="E50" s="255">
        <f t="shared" si="9"/>
        <v>9.7194446031655293E-2</v>
      </c>
      <c r="F50" s="256">
        <f t="shared" si="9"/>
        <v>0.12265942359925965</v>
      </c>
      <c r="G50" s="199" t="s">
        <v>84</v>
      </c>
    </row>
    <row r="51" spans="2:7" s="200" customFormat="1" x14ac:dyDescent="0.25">
      <c r="B51" s="212" t="s">
        <v>97</v>
      </c>
      <c r="C51" s="281">
        <f>3.357/100000</f>
        <v>3.3569999999999999E-5</v>
      </c>
      <c r="D51" s="283">
        <f>93.432/100000</f>
        <v>9.3431999999999999E-4</v>
      </c>
      <c r="E51" s="257">
        <f t="shared" si="9"/>
        <v>3.3569999999999999E-5</v>
      </c>
      <c r="F51" s="258">
        <f t="shared" si="9"/>
        <v>9.3431999999999999E-4</v>
      </c>
      <c r="G51" s="199" t="s">
        <v>98</v>
      </c>
    </row>
    <row r="52" spans="2:7" s="217" customFormat="1" x14ac:dyDescent="0.25">
      <c r="B52" s="213" t="s">
        <v>106</v>
      </c>
      <c r="C52" s="267">
        <f>Annexe!N20</f>
        <v>26715.952334288417</v>
      </c>
      <c r="D52" s="268">
        <f>Annexe!N46</f>
        <v>26715.952334288417</v>
      </c>
      <c r="E52" s="259">
        <f t="shared" si="9"/>
        <v>26715.952334288417</v>
      </c>
      <c r="F52" s="260">
        <f t="shared" si="9"/>
        <v>26715.952334288417</v>
      </c>
      <c r="G52" s="216" t="s">
        <v>100</v>
      </c>
    </row>
    <row r="53" spans="2:7" s="217" customFormat="1" x14ac:dyDescent="0.25">
      <c r="B53" s="213" t="s">
        <v>101</v>
      </c>
      <c r="C53" s="267">
        <f>Annexe!I20</f>
        <v>64919.472461714679</v>
      </c>
      <c r="D53" s="268">
        <f>Annexe!I46</f>
        <v>57936.743320007634</v>
      </c>
      <c r="E53" s="259">
        <f>Annexe!J20</f>
        <v>32459.736230857339</v>
      </c>
      <c r="F53" s="260">
        <f>Annexe!J46</f>
        <v>28968.371660003817</v>
      </c>
      <c r="G53" s="216" t="s">
        <v>100</v>
      </c>
    </row>
    <row r="54" spans="2:7" s="228" customFormat="1" x14ac:dyDescent="0.25">
      <c r="B54" s="225" t="s">
        <v>102</v>
      </c>
      <c r="C54" s="226">
        <f>0.795/100000</f>
        <v>7.9500000000000001E-6</v>
      </c>
      <c r="D54" s="284">
        <f>30.621/100000</f>
        <v>3.0621000000000001E-4</v>
      </c>
      <c r="E54" s="269">
        <f>C54</f>
        <v>7.9500000000000001E-6</v>
      </c>
      <c r="F54" s="270">
        <f>D54</f>
        <v>3.0621000000000001E-4</v>
      </c>
      <c r="G54" s="227" t="s">
        <v>98</v>
      </c>
    </row>
    <row r="55" spans="2:7" s="231" customFormat="1" x14ac:dyDescent="0.25">
      <c r="B55" s="229" t="s">
        <v>103</v>
      </c>
      <c r="C55" s="271">
        <f>Annexe!L20</f>
        <v>3800514.4920942867</v>
      </c>
      <c r="D55" s="272">
        <f>Annexe!L46</f>
        <v>2373427.597896127</v>
      </c>
      <c r="E55" s="272">
        <f>C55</f>
        <v>3800514.4920942867</v>
      </c>
      <c r="F55" s="273">
        <f>D55</f>
        <v>2373427.597896127</v>
      </c>
      <c r="G55" s="230" t="s">
        <v>100</v>
      </c>
    </row>
    <row r="56" spans="2:7" x14ac:dyDescent="0.25">
      <c r="B56" s="218" t="s">
        <v>57</v>
      </c>
      <c r="C56" s="218"/>
      <c r="D56" s="219"/>
      <c r="E56" s="220"/>
      <c r="F56" s="221"/>
      <c r="G56" s="222"/>
    </row>
    <row r="57" spans="2:7" x14ac:dyDescent="0.25">
      <c r="B57" s="208" t="s">
        <v>93</v>
      </c>
      <c r="C57" s="223">
        <v>0.15</v>
      </c>
      <c r="D57" s="224">
        <v>0.19</v>
      </c>
      <c r="E57" s="265">
        <f t="shared" ref="E57:F61" si="11">C57</f>
        <v>0.15</v>
      </c>
      <c r="F57" s="266">
        <f t="shared" si="11"/>
        <v>0.19</v>
      </c>
      <c r="G57" s="199" t="s">
        <v>107</v>
      </c>
    </row>
    <row r="58" spans="2:7" x14ac:dyDescent="0.25">
      <c r="B58" s="211" t="s">
        <v>95</v>
      </c>
      <c r="C58" s="261">
        <f>1/(1-C57)</f>
        <v>1.1764705882352942</v>
      </c>
      <c r="D58" s="262">
        <f t="shared" ref="D58" si="12">1/(1-D57)</f>
        <v>1.2345679012345678</v>
      </c>
      <c r="E58" s="253">
        <f t="shared" si="11"/>
        <v>1.1764705882352942</v>
      </c>
      <c r="F58" s="254">
        <f t="shared" si="11"/>
        <v>1.2345679012345678</v>
      </c>
      <c r="G58" s="199" t="s">
        <v>84</v>
      </c>
    </row>
    <row r="59" spans="2:7" s="200" customFormat="1" x14ac:dyDescent="0.25">
      <c r="B59" s="212" t="s">
        <v>96</v>
      </c>
      <c r="C59" s="263">
        <f>C10*(C58-1)/(C10*(C58-1)+1)</f>
        <v>6.6703266538567133E-2</v>
      </c>
      <c r="D59" s="264">
        <f>D10*(D58-1)/(D10*(D58-1)+1)</f>
        <v>8.1445192896509463E-2</v>
      </c>
      <c r="E59" s="255">
        <f t="shared" si="11"/>
        <v>6.6703266538567133E-2</v>
      </c>
      <c r="F59" s="256">
        <f t="shared" si="11"/>
        <v>8.1445192896509463E-2</v>
      </c>
      <c r="G59" s="199" t="s">
        <v>84</v>
      </c>
    </row>
    <row r="60" spans="2:7" s="200" customFormat="1" x14ac:dyDescent="0.25">
      <c r="B60" s="212" t="s">
        <v>97</v>
      </c>
      <c r="C60" s="281">
        <f>0.857/100000</f>
        <v>8.5699999999999993E-6</v>
      </c>
      <c r="D60" s="283">
        <f>15.983/100000</f>
        <v>1.5982999999999999E-4</v>
      </c>
      <c r="E60" s="257">
        <f t="shared" si="11"/>
        <v>8.5699999999999993E-6</v>
      </c>
      <c r="F60" s="258">
        <f t="shared" si="11"/>
        <v>1.5982999999999999E-4</v>
      </c>
      <c r="G60" s="199" t="s">
        <v>98</v>
      </c>
    </row>
    <row r="61" spans="2:7" s="217" customFormat="1" x14ac:dyDescent="0.25">
      <c r="B61" s="213" t="s">
        <v>106</v>
      </c>
      <c r="C61" s="267">
        <f>Annexe!N22</f>
        <v>11709.740195349168</v>
      </c>
      <c r="D61" s="268">
        <f>Annexe!N48</f>
        <v>11709.740195349168</v>
      </c>
      <c r="E61" s="259">
        <f t="shared" si="11"/>
        <v>11709.740195349168</v>
      </c>
      <c r="F61" s="260">
        <f t="shared" si="11"/>
        <v>11709.740195349168</v>
      </c>
      <c r="G61" s="216" t="s">
        <v>100</v>
      </c>
    </row>
    <row r="62" spans="2:7" s="217" customFormat="1" x14ac:dyDescent="0.25">
      <c r="B62" s="213" t="s">
        <v>101</v>
      </c>
      <c r="C62" s="267">
        <f>Annexe!I22</f>
        <v>26897.104367085125</v>
      </c>
      <c r="D62" s="268">
        <f>Annexe!I48</f>
        <v>31321.348547440142</v>
      </c>
      <c r="E62" s="259">
        <f>Annexe!J22</f>
        <v>13448.552183542562</v>
      </c>
      <c r="F62" s="260">
        <f>Annexe!J48</f>
        <v>15660.674273720071</v>
      </c>
      <c r="G62" s="216" t="s">
        <v>100</v>
      </c>
    </row>
    <row r="63" spans="2:7" s="228" customFormat="1" x14ac:dyDescent="0.25">
      <c r="B63" s="225" t="s">
        <v>102</v>
      </c>
      <c r="C63" s="226">
        <f>0.367/100000</f>
        <v>3.67E-6</v>
      </c>
      <c r="D63" s="284">
        <f>9.809/100000</f>
        <v>9.8089999999999991E-5</v>
      </c>
      <c r="E63" s="269">
        <f>C63</f>
        <v>3.67E-6</v>
      </c>
      <c r="F63" s="270">
        <f>D63</f>
        <v>9.8089999999999991E-5</v>
      </c>
      <c r="G63" s="227" t="s">
        <v>98</v>
      </c>
    </row>
    <row r="64" spans="2:7" s="231" customFormat="1" x14ac:dyDescent="0.25">
      <c r="B64" s="229" t="s">
        <v>103</v>
      </c>
      <c r="C64" s="271">
        <f>Annexe!L22</f>
        <v>3788578.984352482</v>
      </c>
      <c r="D64" s="272">
        <f>Annexe!L48</f>
        <v>2427518.4962516143</v>
      </c>
      <c r="E64" s="272">
        <f>C64</f>
        <v>3788578.984352482</v>
      </c>
      <c r="F64" s="273">
        <f>D64</f>
        <v>2427518.4962516143</v>
      </c>
      <c r="G64" s="230" t="s">
        <v>108</v>
      </c>
    </row>
    <row r="65" spans="2:7" x14ac:dyDescent="0.25">
      <c r="B65" s="218" t="s">
        <v>58</v>
      </c>
      <c r="C65" s="218"/>
      <c r="D65" s="219"/>
      <c r="E65" s="220"/>
      <c r="F65" s="221"/>
      <c r="G65" s="222"/>
    </row>
    <row r="66" spans="2:7" x14ac:dyDescent="0.25">
      <c r="B66" s="208" t="s">
        <v>93</v>
      </c>
      <c r="C66" s="223">
        <v>0.19</v>
      </c>
      <c r="D66" s="224">
        <v>0.24</v>
      </c>
      <c r="E66" s="265">
        <f t="shared" ref="E66:F70" si="13">C66</f>
        <v>0.19</v>
      </c>
      <c r="F66" s="266">
        <f t="shared" si="13"/>
        <v>0.24</v>
      </c>
      <c r="G66" s="199" t="s">
        <v>107</v>
      </c>
    </row>
    <row r="67" spans="2:7" x14ac:dyDescent="0.25">
      <c r="B67" s="211" t="s">
        <v>95</v>
      </c>
      <c r="C67" s="261">
        <f>1/(1-C66)</f>
        <v>1.2345679012345678</v>
      </c>
      <c r="D67" s="262">
        <f t="shared" ref="D67" si="14">1/(1-D66)</f>
        <v>1.3157894736842106</v>
      </c>
      <c r="E67" s="253">
        <f t="shared" si="13"/>
        <v>1.2345679012345678</v>
      </c>
      <c r="F67" s="254">
        <f t="shared" si="13"/>
        <v>1.3157894736842106</v>
      </c>
      <c r="G67" s="199" t="s">
        <v>84</v>
      </c>
    </row>
    <row r="68" spans="2:7" s="200" customFormat="1" x14ac:dyDescent="0.25">
      <c r="B68" s="212" t="s">
        <v>96</v>
      </c>
      <c r="C68" s="263">
        <f>C10*(C67-1)/(C10*(C67-1)+1)</f>
        <v>8.675799086757989E-2</v>
      </c>
      <c r="D68" s="264">
        <f>D10*(D67-1)/(D10*(D67-1)+1)</f>
        <v>0.10663908218920447</v>
      </c>
      <c r="E68" s="255">
        <f t="shared" si="13"/>
        <v>8.675799086757989E-2</v>
      </c>
      <c r="F68" s="256">
        <f t="shared" si="13"/>
        <v>0.10663908218920447</v>
      </c>
      <c r="G68" s="199" t="s">
        <v>84</v>
      </c>
    </row>
    <row r="69" spans="2:7" s="200" customFormat="1" x14ac:dyDescent="0.25">
      <c r="B69" s="212" t="s">
        <v>97</v>
      </c>
      <c r="C69" s="281">
        <f>0.963/100000</f>
        <v>9.6299999999999993E-6</v>
      </c>
      <c r="D69" s="283">
        <f>40.876/100000</f>
        <v>4.0875999999999998E-4</v>
      </c>
      <c r="E69" s="257">
        <f t="shared" si="13"/>
        <v>9.6299999999999993E-6</v>
      </c>
      <c r="F69" s="258">
        <f t="shared" si="13"/>
        <v>4.0875999999999998E-4</v>
      </c>
      <c r="G69" s="199" t="s">
        <v>98</v>
      </c>
    </row>
    <row r="70" spans="2:7" s="217" customFormat="1" x14ac:dyDescent="0.25">
      <c r="B70" s="213" t="s">
        <v>106</v>
      </c>
      <c r="C70" s="267">
        <f>Annexe!N24</f>
        <v>32837.637113209894</v>
      </c>
      <c r="D70" s="268">
        <f>Annexe!N50</f>
        <v>32837.637113209894</v>
      </c>
      <c r="E70" s="259">
        <f t="shared" si="13"/>
        <v>32837.637113209894</v>
      </c>
      <c r="F70" s="260">
        <f t="shared" si="13"/>
        <v>32837.637113209894</v>
      </c>
      <c r="G70" s="216" t="s">
        <v>100</v>
      </c>
    </row>
    <row r="71" spans="2:7" s="217" customFormat="1" x14ac:dyDescent="0.25">
      <c r="B71" s="213" t="s">
        <v>101</v>
      </c>
      <c r="C71" s="267">
        <f>Annexe!I24</f>
        <v>60987.914786443398</v>
      </c>
      <c r="D71" s="268">
        <f>Annexe!I50</f>
        <v>61961.456148460587</v>
      </c>
      <c r="E71" s="259">
        <f>Annexe!J24</f>
        <v>30493.957393221699</v>
      </c>
      <c r="F71" s="260">
        <f>Annexe!J50</f>
        <v>30980.728074230294</v>
      </c>
      <c r="G71" s="216" t="s">
        <v>100</v>
      </c>
    </row>
    <row r="72" spans="2:7" s="228" customFormat="1" x14ac:dyDescent="0.25">
      <c r="B72" s="225" t="s">
        <v>102</v>
      </c>
      <c r="C72" s="226">
        <f>0.072/100000</f>
        <v>7.1999999999999999E-7</v>
      </c>
      <c r="D72" s="284">
        <f>8.32/100000</f>
        <v>8.3200000000000003E-5</v>
      </c>
      <c r="E72" s="269">
        <f>C72</f>
        <v>7.1999999999999999E-7</v>
      </c>
      <c r="F72" s="270">
        <f>D72</f>
        <v>8.3200000000000003E-5</v>
      </c>
      <c r="G72" s="227" t="s">
        <v>98</v>
      </c>
    </row>
    <row r="73" spans="2:7" s="231" customFormat="1" x14ac:dyDescent="0.25">
      <c r="B73" s="229" t="s">
        <v>103</v>
      </c>
      <c r="C73" s="271">
        <f>Annexe!L24</f>
        <v>3792783.8472169996</v>
      </c>
      <c r="D73" s="272">
        <f>Annexe!L50</f>
        <v>2299013.0943512786</v>
      </c>
      <c r="E73" s="272">
        <f>C73</f>
        <v>3792783.8472169996</v>
      </c>
      <c r="F73" s="273">
        <f>D73</f>
        <v>2299013.0943512786</v>
      </c>
      <c r="G73" s="230" t="s">
        <v>100</v>
      </c>
    </row>
    <row r="74" spans="2:7" x14ac:dyDescent="0.25">
      <c r="B74" s="218" t="s">
        <v>59</v>
      </c>
      <c r="C74" s="218"/>
      <c r="D74" s="219"/>
      <c r="E74" s="220"/>
      <c r="F74" s="221"/>
      <c r="G74" s="222"/>
    </row>
    <row r="75" spans="2:7" x14ac:dyDescent="0.25">
      <c r="B75" s="208" t="s">
        <v>93</v>
      </c>
      <c r="C75" s="223">
        <v>0.19</v>
      </c>
      <c r="D75" s="224">
        <v>0.51</v>
      </c>
      <c r="E75" s="265">
        <f t="shared" ref="E75:F79" si="15">C75</f>
        <v>0.19</v>
      </c>
      <c r="F75" s="266">
        <f t="shared" si="15"/>
        <v>0.51</v>
      </c>
      <c r="G75" s="199" t="s">
        <v>107</v>
      </c>
    </row>
    <row r="76" spans="2:7" x14ac:dyDescent="0.25">
      <c r="B76" s="211" t="s">
        <v>95</v>
      </c>
      <c r="C76" s="261">
        <f>1/(1-C75)</f>
        <v>1.2345679012345678</v>
      </c>
      <c r="D76" s="262">
        <f t="shared" ref="D76" si="16">1/(1-D75)</f>
        <v>2.0408163265306123</v>
      </c>
      <c r="E76" s="253">
        <f t="shared" si="15"/>
        <v>1.2345679012345678</v>
      </c>
      <c r="F76" s="254">
        <f t="shared" si="15"/>
        <v>2.0408163265306123</v>
      </c>
      <c r="G76" s="199" t="s">
        <v>84</v>
      </c>
    </row>
    <row r="77" spans="2:7" s="200" customFormat="1" x14ac:dyDescent="0.25">
      <c r="B77" s="212" t="s">
        <v>96</v>
      </c>
      <c r="C77" s="274">
        <f>C10*(C76-1)/(C10*(C76-1)+1)</f>
        <v>8.675799086757989E-2</v>
      </c>
      <c r="D77" s="275">
        <f>D10*(D76-1)/(D10*(D76-1)+1)</f>
        <v>0.28234570432643019</v>
      </c>
      <c r="E77" s="255">
        <f t="shared" si="15"/>
        <v>8.675799086757989E-2</v>
      </c>
      <c r="F77" s="256">
        <f t="shared" si="15"/>
        <v>0.28234570432643019</v>
      </c>
      <c r="G77" s="199" t="s">
        <v>84</v>
      </c>
    </row>
    <row r="78" spans="2:7" s="200" customFormat="1" x14ac:dyDescent="0.25">
      <c r="B78" s="212" t="s">
        <v>97</v>
      </c>
      <c r="C78" s="281">
        <f>0.203/100000</f>
        <v>2.03E-6</v>
      </c>
      <c r="D78" s="283">
        <f>13.26/100000</f>
        <v>1.326E-4</v>
      </c>
      <c r="E78" s="257">
        <f t="shared" si="15"/>
        <v>2.03E-6</v>
      </c>
      <c r="F78" s="258">
        <f t="shared" si="15"/>
        <v>1.326E-4</v>
      </c>
      <c r="G78" s="199" t="s">
        <v>98</v>
      </c>
    </row>
    <row r="79" spans="2:7" s="217" customFormat="1" x14ac:dyDescent="0.25">
      <c r="B79" s="213" t="s">
        <v>106</v>
      </c>
      <c r="C79" s="267">
        <f>Annexe!N26</f>
        <v>11180.657066637856</v>
      </c>
      <c r="D79" s="268">
        <f>Annexe!N52</f>
        <v>11180.657066637856</v>
      </c>
      <c r="E79" s="259">
        <f t="shared" si="15"/>
        <v>11180.657066637856</v>
      </c>
      <c r="F79" s="260">
        <f t="shared" si="15"/>
        <v>11180.657066637856</v>
      </c>
      <c r="G79" s="216" t="s">
        <v>100</v>
      </c>
    </row>
    <row r="80" spans="2:7" s="217" customFormat="1" x14ac:dyDescent="0.25">
      <c r="B80" s="213" t="s">
        <v>101</v>
      </c>
      <c r="C80" s="267">
        <f>Annexe!I26</f>
        <v>28607.672111252436</v>
      </c>
      <c r="D80" s="268">
        <f>Annexe!I52</f>
        <v>35133.004502240357</v>
      </c>
      <c r="E80" s="259">
        <f>Annexe!J26</f>
        <v>14303.836055626218</v>
      </c>
      <c r="F80" s="260">
        <f>Annexe!J52</f>
        <v>17566.502251120179</v>
      </c>
      <c r="G80" s="216" t="s">
        <v>100</v>
      </c>
    </row>
    <row r="81" spans="2:7" s="228" customFormat="1" x14ac:dyDescent="0.25">
      <c r="B81" s="225" t="s">
        <v>102</v>
      </c>
      <c r="C81" s="226">
        <f>0.121/100000</f>
        <v>1.2100000000000001E-6</v>
      </c>
      <c r="D81" s="284">
        <f>10.767/100000</f>
        <v>1.0766999999999999E-4</v>
      </c>
      <c r="E81" s="269">
        <f>C81</f>
        <v>1.2100000000000001E-6</v>
      </c>
      <c r="F81" s="270">
        <f>D81</f>
        <v>1.0766999999999999E-4</v>
      </c>
      <c r="G81" s="227" t="s">
        <v>98</v>
      </c>
    </row>
    <row r="82" spans="2:7" s="231" customFormat="1" x14ac:dyDescent="0.25">
      <c r="B82" s="229" t="s">
        <v>103</v>
      </c>
      <c r="C82" s="271">
        <f>Annexe!L26</f>
        <v>3775976.0850961306</v>
      </c>
      <c r="D82" s="272">
        <f>Annexe!L52</f>
        <v>2452343.7912738807</v>
      </c>
      <c r="E82" s="272">
        <f>C82</f>
        <v>3775976.0850961306</v>
      </c>
      <c r="F82" s="273">
        <f>D82</f>
        <v>2452343.7912738807</v>
      </c>
      <c r="G82" s="230" t="s">
        <v>100</v>
      </c>
    </row>
    <row r="83" spans="2:7" x14ac:dyDescent="0.25">
      <c r="B83" s="218" t="s">
        <v>60</v>
      </c>
      <c r="C83" s="218"/>
      <c r="D83" s="219"/>
      <c r="E83" s="220"/>
      <c r="F83" s="221"/>
      <c r="G83" s="222"/>
    </row>
    <row r="84" spans="2:7" x14ac:dyDescent="0.25">
      <c r="B84" s="208" t="s">
        <v>93</v>
      </c>
      <c r="C84" s="223">
        <v>0.3</v>
      </c>
      <c r="D84" s="224">
        <v>0.65</v>
      </c>
      <c r="E84" s="265">
        <f t="shared" ref="E84:F88" si="17">C84</f>
        <v>0.3</v>
      </c>
      <c r="F84" s="266">
        <f t="shared" si="17"/>
        <v>0.65</v>
      </c>
      <c r="G84" s="199" t="s">
        <v>109</v>
      </c>
    </row>
    <row r="85" spans="2:7" x14ac:dyDescent="0.25">
      <c r="B85" s="211" t="s">
        <v>95</v>
      </c>
      <c r="C85" s="261">
        <f>1/(1-C84)</f>
        <v>1.4285714285714286</v>
      </c>
      <c r="D85" s="262">
        <f t="shared" ref="D85" si="18">1/(1-D84)</f>
        <v>2.8571428571428572</v>
      </c>
      <c r="E85" s="253">
        <f t="shared" si="17"/>
        <v>1.4285714285714286</v>
      </c>
      <c r="F85" s="254">
        <f t="shared" si="17"/>
        <v>2.8571428571428572</v>
      </c>
      <c r="G85" s="199" t="s">
        <v>84</v>
      </c>
    </row>
    <row r="86" spans="2:7" s="200" customFormat="1" x14ac:dyDescent="0.25">
      <c r="B86" s="212" t="s">
        <v>96</v>
      </c>
      <c r="C86" s="263">
        <f>C10*(C85-1)/(C10*(C85-1)+1)</f>
        <v>0.14790018259281804</v>
      </c>
      <c r="D86" s="264">
        <f>D10*(D85-1)/(D10*(D85-1)+1)</f>
        <v>0.41245593419506466</v>
      </c>
      <c r="E86" s="255">
        <f t="shared" si="17"/>
        <v>0.14790018259281804</v>
      </c>
      <c r="F86" s="256">
        <f t="shared" si="17"/>
        <v>0.41245593419506466</v>
      </c>
      <c r="G86" s="199" t="s">
        <v>84</v>
      </c>
    </row>
    <row r="87" spans="2:7" s="200" customFormat="1" x14ac:dyDescent="0.25">
      <c r="B87" s="212" t="s">
        <v>97</v>
      </c>
      <c r="C87" s="281">
        <f>82.918/100000</f>
        <v>8.2918000000000011E-4</v>
      </c>
      <c r="D87" s="283">
        <f>378.911/100000</f>
        <v>3.78911E-3</v>
      </c>
      <c r="E87" s="257">
        <f t="shared" si="17"/>
        <v>8.2918000000000011E-4</v>
      </c>
      <c r="F87" s="258">
        <f t="shared" si="17"/>
        <v>3.78911E-3</v>
      </c>
      <c r="G87" s="199" t="s">
        <v>98</v>
      </c>
    </row>
    <row r="88" spans="2:7" s="217" customFormat="1" x14ac:dyDescent="0.25">
      <c r="B88" s="213" t="s">
        <v>106</v>
      </c>
      <c r="C88" s="267">
        <f>Annexe!N28</f>
        <v>36514.116824496406</v>
      </c>
      <c r="D88" s="268">
        <f>Annexe!N54</f>
        <v>36514.116824496406</v>
      </c>
      <c r="E88" s="259">
        <f t="shared" si="17"/>
        <v>36514.116824496406</v>
      </c>
      <c r="F88" s="260">
        <f t="shared" si="17"/>
        <v>36514.116824496406</v>
      </c>
      <c r="G88" s="216" t="s">
        <v>100</v>
      </c>
    </row>
    <row r="89" spans="2:7" s="217" customFormat="1" x14ac:dyDescent="0.25">
      <c r="B89" s="213" t="s">
        <v>101</v>
      </c>
      <c r="C89" s="267">
        <f>Annexe!I28</f>
        <v>122030.69200472174</v>
      </c>
      <c r="D89" s="268">
        <f>Annexe!I54</f>
        <v>149196.15514057263</v>
      </c>
      <c r="E89" s="259">
        <f>Annexe!J28</f>
        <v>61015.346002360871</v>
      </c>
      <c r="F89" s="260">
        <f>Annexe!J54</f>
        <v>74598.077570286317</v>
      </c>
      <c r="G89" s="216" t="s">
        <v>100</v>
      </c>
    </row>
    <row r="90" spans="2:7" s="228" customFormat="1" x14ac:dyDescent="0.25">
      <c r="B90" s="225" t="s">
        <v>102</v>
      </c>
      <c r="C90" s="226">
        <f>0.124/100000</f>
        <v>1.24E-6</v>
      </c>
      <c r="D90" s="284">
        <f>9.998/100000</f>
        <v>9.9979999999999988E-5</v>
      </c>
      <c r="E90" s="269">
        <f>C90</f>
        <v>1.24E-6</v>
      </c>
      <c r="F90" s="270">
        <f>D90</f>
        <v>9.9979999999999988E-5</v>
      </c>
      <c r="G90" s="227" t="s">
        <v>98</v>
      </c>
    </row>
    <row r="91" spans="2:7" s="231" customFormat="1" x14ac:dyDescent="0.25">
      <c r="B91" s="229" t="s">
        <v>103</v>
      </c>
      <c r="C91" s="271">
        <f>Annexe!L28</f>
        <v>3814911.867428917</v>
      </c>
      <c r="D91" s="272">
        <f>Annexe!L54</f>
        <v>2314462.03702586</v>
      </c>
      <c r="E91" s="272">
        <f>C91</f>
        <v>3814911.867428917</v>
      </c>
      <c r="F91" s="273">
        <f>D91</f>
        <v>2314462.03702586</v>
      </c>
      <c r="G91" s="230" t="s">
        <v>100</v>
      </c>
    </row>
    <row r="92" spans="2:7" x14ac:dyDescent="0.25">
      <c r="B92" s="218" t="s">
        <v>61</v>
      </c>
      <c r="C92" s="218"/>
      <c r="D92" s="219"/>
      <c r="E92" s="220"/>
      <c r="F92" s="221"/>
      <c r="G92" s="222"/>
    </row>
    <row r="93" spans="2:7" x14ac:dyDescent="0.25">
      <c r="B93" s="208" t="s">
        <v>93</v>
      </c>
      <c r="C93" s="232">
        <v>0.21</v>
      </c>
      <c r="D93" s="233">
        <v>0.21</v>
      </c>
      <c r="E93" s="265">
        <f t="shared" ref="E93:F97" si="19">C93</f>
        <v>0.21</v>
      </c>
      <c r="F93" s="266">
        <f t="shared" si="19"/>
        <v>0.21</v>
      </c>
      <c r="G93" s="234" t="s">
        <v>110</v>
      </c>
    </row>
    <row r="94" spans="2:7" x14ac:dyDescent="0.25">
      <c r="B94" s="211" t="s">
        <v>95</v>
      </c>
      <c r="C94" s="261">
        <f>1/(1-C93)</f>
        <v>1.2658227848101264</v>
      </c>
      <c r="D94" s="262">
        <f t="shared" ref="D94" si="20">1/(1-D93)</f>
        <v>1.2658227848101264</v>
      </c>
      <c r="E94" s="253">
        <f t="shared" si="19"/>
        <v>1.2658227848101264</v>
      </c>
      <c r="F94" s="254">
        <f t="shared" si="19"/>
        <v>1.2658227848101264</v>
      </c>
      <c r="G94" s="199" t="s">
        <v>84</v>
      </c>
    </row>
    <row r="95" spans="2:7" s="200" customFormat="1" x14ac:dyDescent="0.25">
      <c r="B95" s="212" t="s">
        <v>96</v>
      </c>
      <c r="C95" s="263">
        <f>C10*(C94-1)/(C10*(C94-1)+1)</f>
        <v>9.7194446031655293E-2</v>
      </c>
      <c r="D95" s="264">
        <f>D10*(D94-1)/(D10*(D94-1)+1)</f>
        <v>9.1306448273482207E-2</v>
      </c>
      <c r="E95" s="255">
        <f t="shared" si="19"/>
        <v>9.7194446031655293E-2</v>
      </c>
      <c r="F95" s="256">
        <f t="shared" si="19"/>
        <v>9.1306448273482207E-2</v>
      </c>
      <c r="G95" s="199" t="s">
        <v>84</v>
      </c>
    </row>
    <row r="96" spans="2:7" s="200" customFormat="1" x14ac:dyDescent="0.25">
      <c r="B96" s="212" t="s">
        <v>97</v>
      </c>
      <c r="C96" s="281">
        <f>37.828/100000</f>
        <v>3.7828000000000004E-4</v>
      </c>
      <c r="D96" s="283">
        <f>224.279/100000</f>
        <v>2.2427900000000001E-3</v>
      </c>
      <c r="E96" s="257">
        <f t="shared" si="19"/>
        <v>3.7828000000000004E-4</v>
      </c>
      <c r="F96" s="258">
        <f t="shared" si="19"/>
        <v>2.2427900000000001E-3</v>
      </c>
      <c r="G96" s="199" t="s">
        <v>98</v>
      </c>
    </row>
    <row r="97" spans="2:7" s="217" customFormat="1" x14ac:dyDescent="0.25">
      <c r="B97" s="213" t="s">
        <v>106</v>
      </c>
      <c r="C97" s="267">
        <f>Annexe!N30</f>
        <v>10405.406271741789</v>
      </c>
      <c r="D97" s="268">
        <f>Annexe!N56</f>
        <v>10405.406271741789</v>
      </c>
      <c r="E97" s="259">
        <f t="shared" si="19"/>
        <v>10405.406271741789</v>
      </c>
      <c r="F97" s="260">
        <f t="shared" si="19"/>
        <v>10405.406271741789</v>
      </c>
      <c r="G97" s="216" t="s">
        <v>100</v>
      </c>
    </row>
    <row r="98" spans="2:7" s="217" customFormat="1" x14ac:dyDescent="0.25">
      <c r="B98" s="213" t="s">
        <v>101</v>
      </c>
      <c r="C98" s="267">
        <f>Annexe!I30</f>
        <v>65613.710812706544</v>
      </c>
      <c r="D98" s="268">
        <f>Annexe!I56</f>
        <v>63852.699033273871</v>
      </c>
      <c r="E98" s="259">
        <f>Annexe!J30</f>
        <v>32806.855406353272</v>
      </c>
      <c r="F98" s="260">
        <f>Annexe!J56</f>
        <v>31926.349516636936</v>
      </c>
      <c r="G98" s="216" t="s">
        <v>100</v>
      </c>
    </row>
    <row r="99" spans="2:7" s="228" customFormat="1" x14ac:dyDescent="0.25">
      <c r="B99" s="225" t="s">
        <v>102</v>
      </c>
      <c r="C99" s="226">
        <f>0.102/100000</f>
        <v>1.02E-6</v>
      </c>
      <c r="D99" s="284">
        <f>12.041/100000</f>
        <v>1.2041000000000001E-4</v>
      </c>
      <c r="E99" s="269">
        <f>C99</f>
        <v>1.02E-6</v>
      </c>
      <c r="F99" s="270">
        <f>D99</f>
        <v>1.2041000000000001E-4</v>
      </c>
      <c r="G99" s="227" t="s">
        <v>98</v>
      </c>
    </row>
    <row r="100" spans="2:7" s="231" customFormat="1" x14ac:dyDescent="0.25">
      <c r="B100" s="229" t="s">
        <v>103</v>
      </c>
      <c r="C100" s="271">
        <f>Annexe!L30</f>
        <v>3850648.5619736603</v>
      </c>
      <c r="D100" s="272">
        <f>Annexe!L56</f>
        <v>2256484.4560191091</v>
      </c>
      <c r="E100" s="272">
        <f>C100</f>
        <v>3850648.5619736603</v>
      </c>
      <c r="F100" s="273">
        <f>D100</f>
        <v>2256484.4560191091</v>
      </c>
      <c r="G100" s="230" t="s">
        <v>100</v>
      </c>
    </row>
    <row r="101" spans="2:7" x14ac:dyDescent="0.25">
      <c r="B101" s="218" t="s">
        <v>62</v>
      </c>
      <c r="C101" s="218"/>
      <c r="D101" s="219"/>
      <c r="E101" s="220"/>
      <c r="F101" s="221"/>
      <c r="G101" s="222"/>
    </row>
    <row r="102" spans="2:7" x14ac:dyDescent="0.25">
      <c r="B102" s="208" t="s">
        <v>93</v>
      </c>
      <c r="C102" s="232">
        <v>0.45</v>
      </c>
      <c r="D102" s="224">
        <v>0.5</v>
      </c>
      <c r="E102" s="265">
        <f t="shared" ref="E102:F106" si="21">C102</f>
        <v>0.45</v>
      </c>
      <c r="F102" s="266">
        <f t="shared" si="21"/>
        <v>0.5</v>
      </c>
      <c r="G102" s="234" t="s">
        <v>111</v>
      </c>
    </row>
    <row r="103" spans="2:7" x14ac:dyDescent="0.25">
      <c r="B103" s="211" t="s">
        <v>95</v>
      </c>
      <c r="C103" s="261">
        <f>1/(1-C102)</f>
        <v>1.8181818181818181</v>
      </c>
      <c r="D103" s="262">
        <f t="shared" ref="D103" si="22">1/(1-D102)</f>
        <v>2</v>
      </c>
      <c r="E103" s="253">
        <f t="shared" si="21"/>
        <v>1.8181818181818181</v>
      </c>
      <c r="F103" s="254">
        <f t="shared" si="21"/>
        <v>2</v>
      </c>
      <c r="G103" s="199" t="s">
        <v>84</v>
      </c>
    </row>
    <row r="104" spans="2:7" s="200" customFormat="1" x14ac:dyDescent="0.25">
      <c r="B104" s="212" t="s">
        <v>96</v>
      </c>
      <c r="C104" s="263">
        <f>C10*(C103-1)/(C10*(C103-1)+1)</f>
        <v>0.24889040628200751</v>
      </c>
      <c r="D104" s="264">
        <f>D10*(D103-1)/(D10*(D103-1)+1)</f>
        <v>0.27431059506531202</v>
      </c>
      <c r="E104" s="255">
        <f t="shared" si="21"/>
        <v>0.24889040628200751</v>
      </c>
      <c r="F104" s="256">
        <f t="shared" si="21"/>
        <v>0.27431059506531202</v>
      </c>
      <c r="G104" s="199" t="s">
        <v>84</v>
      </c>
    </row>
    <row r="105" spans="2:7" s="200" customFormat="1" x14ac:dyDescent="0.25">
      <c r="B105" s="212" t="s">
        <v>97</v>
      </c>
      <c r="C105" s="235">
        <v>0</v>
      </c>
      <c r="D105" s="283">
        <f>110.499/100000</f>
        <v>1.1049899999999999E-3</v>
      </c>
      <c r="E105" s="276">
        <f t="shared" si="21"/>
        <v>0</v>
      </c>
      <c r="F105" s="258">
        <f t="shared" si="21"/>
        <v>1.1049899999999999E-3</v>
      </c>
      <c r="G105" s="199" t="s">
        <v>98</v>
      </c>
    </row>
    <row r="106" spans="2:7" s="217" customFormat="1" x14ac:dyDescent="0.25">
      <c r="B106" s="213" t="s">
        <v>106</v>
      </c>
      <c r="C106" s="267">
        <f>Annexe!N32</f>
        <v>22747.957202560861</v>
      </c>
      <c r="D106" s="268">
        <f>Annexe!N58</f>
        <v>22747.957202560861</v>
      </c>
      <c r="E106" s="259">
        <f t="shared" si="21"/>
        <v>22747.957202560861</v>
      </c>
      <c r="F106" s="260">
        <f t="shared" si="21"/>
        <v>22747.957202560861</v>
      </c>
      <c r="G106" s="216" t="s">
        <v>100</v>
      </c>
    </row>
    <row r="107" spans="2:7" s="217" customFormat="1" x14ac:dyDescent="0.25">
      <c r="B107" s="213" t="s">
        <v>101</v>
      </c>
      <c r="C107" s="267">
        <f>Annexe!I32</f>
        <v>0</v>
      </c>
      <c r="D107" s="268">
        <f>Annexe!I58</f>
        <v>112506.02297245529</v>
      </c>
      <c r="E107" s="259">
        <f>Annexe!J32</f>
        <v>0</v>
      </c>
      <c r="F107" s="260">
        <f>Annexe!J58</f>
        <v>56253.011486227646</v>
      </c>
      <c r="G107" s="216" t="s">
        <v>100</v>
      </c>
    </row>
    <row r="108" spans="2:7" s="228" customFormat="1" x14ac:dyDescent="0.25">
      <c r="B108" s="225" t="s">
        <v>102</v>
      </c>
      <c r="C108" s="226">
        <v>0</v>
      </c>
      <c r="D108" s="284">
        <f>8.686/100000</f>
        <v>8.6860000000000005E-5</v>
      </c>
      <c r="E108" s="269">
        <f>C108</f>
        <v>0</v>
      </c>
      <c r="F108" s="270">
        <f>D108</f>
        <v>8.6860000000000005E-5</v>
      </c>
      <c r="G108" s="227" t="s">
        <v>98</v>
      </c>
    </row>
    <row r="109" spans="2:7" s="231" customFormat="1" x14ac:dyDescent="0.25">
      <c r="B109" s="229" t="s">
        <v>103</v>
      </c>
      <c r="C109" s="271">
        <f>Annexe!L32</f>
        <v>0</v>
      </c>
      <c r="D109" s="272">
        <f>Annexe!L58</f>
        <v>2149971.0093226214</v>
      </c>
      <c r="E109" s="272">
        <f>C109</f>
        <v>0</v>
      </c>
      <c r="F109" s="273">
        <f>D109</f>
        <v>2149971.0093226214</v>
      </c>
      <c r="G109" s="230" t="s">
        <v>100</v>
      </c>
    </row>
    <row r="110" spans="2:7" x14ac:dyDescent="0.25">
      <c r="B110" s="218" t="s">
        <v>63</v>
      </c>
      <c r="C110" s="218"/>
      <c r="D110" s="219"/>
      <c r="E110" s="220"/>
      <c r="F110" s="221"/>
      <c r="G110" s="222"/>
    </row>
    <row r="111" spans="2:7" x14ac:dyDescent="0.25">
      <c r="B111" s="208" t="s">
        <v>93</v>
      </c>
      <c r="C111" s="236">
        <v>0.18</v>
      </c>
      <c r="D111" s="224">
        <v>0.3</v>
      </c>
      <c r="E111" s="265">
        <f t="shared" ref="E111:F115" si="23">C111</f>
        <v>0.18</v>
      </c>
      <c r="F111" s="266">
        <f t="shared" si="23"/>
        <v>0.3</v>
      </c>
      <c r="G111" s="234" t="s">
        <v>112</v>
      </c>
    </row>
    <row r="112" spans="2:7" x14ac:dyDescent="0.25">
      <c r="B112" s="211" t="s">
        <v>95</v>
      </c>
      <c r="C112" s="261">
        <f>1/(1-C111)</f>
        <v>1.2195121951219512</v>
      </c>
      <c r="D112" s="262">
        <f t="shared" ref="D112" si="24">1/(1-D111)</f>
        <v>1.4285714285714286</v>
      </c>
      <c r="E112" s="253">
        <f t="shared" si="23"/>
        <v>1.2195121951219512</v>
      </c>
      <c r="F112" s="254">
        <f t="shared" si="23"/>
        <v>1.4285714285714286</v>
      </c>
      <c r="G112" s="199" t="s">
        <v>84</v>
      </c>
    </row>
    <row r="113" spans="2:7" s="200" customFormat="1" x14ac:dyDescent="0.25">
      <c r="B113" s="212" t="s">
        <v>96</v>
      </c>
      <c r="C113" s="263">
        <f>C10*(C112-1)/(C10*(C112-1)+1)</f>
        <v>8.1644081084107964E-2</v>
      </c>
      <c r="D113" s="264">
        <f>D10*(D112-1)/(D10*(D112-1)+1)</f>
        <v>0.13941480206540449</v>
      </c>
      <c r="E113" s="255">
        <f t="shared" si="23"/>
        <v>8.1644081084107964E-2</v>
      </c>
      <c r="F113" s="256">
        <f t="shared" si="23"/>
        <v>0.13941480206540449</v>
      </c>
      <c r="G113" s="199" t="s">
        <v>84</v>
      </c>
    </row>
    <row r="114" spans="2:7" s="200" customFormat="1" x14ac:dyDescent="0.25">
      <c r="B114" s="212" t="s">
        <v>97</v>
      </c>
      <c r="C114" s="281">
        <f>0.778/100000</f>
        <v>7.7800000000000001E-6</v>
      </c>
      <c r="D114" s="283">
        <f>31.929/100000</f>
        <v>3.1928999999999996E-4</v>
      </c>
      <c r="E114" s="257">
        <f t="shared" si="23"/>
        <v>7.7800000000000001E-6</v>
      </c>
      <c r="F114" s="258">
        <f t="shared" si="23"/>
        <v>3.1928999999999996E-4</v>
      </c>
      <c r="G114" s="199" t="s">
        <v>98</v>
      </c>
    </row>
    <row r="115" spans="2:7" s="217" customFormat="1" x14ac:dyDescent="0.25">
      <c r="B115" s="213" t="s">
        <v>106</v>
      </c>
      <c r="C115" s="267">
        <f>Annexe!N34</f>
        <v>32152.452152241003</v>
      </c>
      <c r="D115" s="268">
        <f>Annexe!N60</f>
        <v>32152.452152241003</v>
      </c>
      <c r="E115" s="259">
        <f t="shared" si="23"/>
        <v>32152.452152241003</v>
      </c>
      <c r="F115" s="260">
        <f t="shared" si="23"/>
        <v>32152.452152241003</v>
      </c>
      <c r="G115" s="216" t="s">
        <v>100</v>
      </c>
    </row>
    <row r="116" spans="2:7" s="217" customFormat="1" x14ac:dyDescent="0.25">
      <c r="B116" s="213" t="s">
        <v>101</v>
      </c>
      <c r="C116" s="267">
        <f>Annexe!I34</f>
        <v>179008.06481959339</v>
      </c>
      <c r="D116" s="268">
        <f>Annexe!I60</f>
        <v>157906.42229854487</v>
      </c>
      <c r="E116" s="259">
        <f>Annexe!J34</f>
        <v>89504.032409796695</v>
      </c>
      <c r="F116" s="260">
        <f>Annexe!J60</f>
        <v>78953.211149272436</v>
      </c>
      <c r="G116" s="216" t="s">
        <v>100</v>
      </c>
    </row>
    <row r="117" spans="2:7" s="228" customFormat="1" x14ac:dyDescent="0.25">
      <c r="B117" s="225" t="s">
        <v>102</v>
      </c>
      <c r="C117" s="226">
        <f>0.006/100000</f>
        <v>5.9999999999999995E-8</v>
      </c>
      <c r="D117" s="284">
        <f>3.456/100000</f>
        <v>3.4560000000000001E-5</v>
      </c>
      <c r="E117" s="269">
        <f>C117</f>
        <v>5.9999999999999995E-8</v>
      </c>
      <c r="F117" s="270">
        <f>D117</f>
        <v>3.4560000000000001E-5</v>
      </c>
      <c r="G117" s="227" t="s">
        <v>98</v>
      </c>
    </row>
    <row r="118" spans="2:7" s="231" customFormat="1" ht="15.75" thickBot="1" x14ac:dyDescent="0.3">
      <c r="B118" s="237" t="s">
        <v>103</v>
      </c>
      <c r="C118" s="277">
        <f>Annexe!L34</f>
        <v>3862173.7393024773</v>
      </c>
      <c r="D118" s="278">
        <f>Annexe!L60</f>
        <v>2076985.46533973</v>
      </c>
      <c r="E118" s="278">
        <f>C118</f>
        <v>3862173.7393024773</v>
      </c>
      <c r="F118" s="279">
        <f>D118</f>
        <v>2076985.46533973</v>
      </c>
      <c r="G118" s="238" t="s">
        <v>100</v>
      </c>
    </row>
    <row r="119" spans="2:7" x14ac:dyDescent="0.25">
      <c r="C119" s="239"/>
      <c r="D119" s="239"/>
      <c r="E119" s="240"/>
      <c r="F119" s="240"/>
      <c r="G119" s="241"/>
    </row>
  </sheetData>
  <sheetProtection algorithmName="SHA-512" hashValue="+1ICIWb7dsJ7XgV33nctjKgWXYObDvxAbHzYfzCCsr44M+WtasL+mCRtQd3qowBG6Q8TCtdxEOBe1SWct5/p7Q==" saltValue="l5d0BVFSmYFDyZjPg/FZ4g==" spinCount="100000" sheet="1" objects="1" scenarios="1"/>
  <mergeCells count="2">
    <mergeCell ref="G6:G7"/>
    <mergeCell ref="B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zoomScale="77" zoomScaleNormal="70" workbookViewId="0">
      <pane ySplit="9" topLeftCell="A10" activePane="bottomLeft" state="frozen"/>
      <selection pane="bottomLeft" activeCell="C6" sqref="C6"/>
    </sheetView>
  </sheetViews>
  <sheetFormatPr baseColWidth="10" defaultColWidth="11.42578125" defaultRowHeight="15" x14ac:dyDescent="0.25"/>
  <cols>
    <col min="1" max="1" width="5.7109375" style="112" customWidth="1"/>
    <col min="2" max="2" width="53.140625" style="112" customWidth="1"/>
    <col min="3" max="3" width="13.7109375" style="112" customWidth="1"/>
    <col min="4" max="4" width="11.42578125" style="112" customWidth="1"/>
    <col min="5" max="6" width="11.42578125" style="112"/>
    <col min="7" max="7" width="14.140625" style="112" customWidth="1"/>
    <col min="8" max="8" width="11.42578125" style="113"/>
    <col min="9" max="9" width="13.28515625" style="112" customWidth="1"/>
    <col min="10" max="10" width="15" style="114" customWidth="1"/>
    <col min="11" max="11" width="15.5703125" style="112" customWidth="1"/>
    <col min="12" max="12" width="19.42578125" style="115" customWidth="1"/>
    <col min="13" max="13" width="25.140625" style="113" customWidth="1"/>
    <col min="14" max="14" width="15.85546875" style="112" customWidth="1"/>
    <col min="15" max="16384" width="11.42578125" style="112"/>
  </cols>
  <sheetData>
    <row r="1" spans="2:14" x14ac:dyDescent="0.25">
      <c r="B1" s="323" t="s">
        <v>113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2:14" ht="15.75" thickBot="1" x14ac:dyDescent="0.3"/>
    <row r="3" spans="2:14" ht="15.75" thickBot="1" x14ac:dyDescent="0.3">
      <c r="B3" s="116" t="s">
        <v>114</v>
      </c>
      <c r="C3" s="117" t="s">
        <v>115</v>
      </c>
      <c r="D3" s="118" t="s">
        <v>116</v>
      </c>
      <c r="F3" s="293"/>
    </row>
    <row r="4" spans="2:14" x14ac:dyDescent="0.25">
      <c r="B4" s="119" t="s">
        <v>117</v>
      </c>
      <c r="C4" s="120">
        <v>3428000</v>
      </c>
      <c r="D4" s="121" t="s">
        <v>92</v>
      </c>
    </row>
    <row r="5" spans="2:14" x14ac:dyDescent="0.25">
      <c r="B5" s="122" t="s">
        <v>118</v>
      </c>
      <c r="C5" s="123">
        <f>131000</f>
        <v>131000</v>
      </c>
      <c r="D5" s="124" t="s">
        <v>92</v>
      </c>
    </row>
    <row r="6" spans="2:14" ht="15.75" thickBot="1" x14ac:dyDescent="0.3">
      <c r="B6" s="125" t="s">
        <v>119</v>
      </c>
      <c r="C6" s="126">
        <v>2.5000000000000001E-2</v>
      </c>
      <c r="D6" s="127" t="s">
        <v>92</v>
      </c>
    </row>
    <row r="7" spans="2:14" x14ac:dyDescent="0.25">
      <c r="B7" s="128"/>
      <c r="C7" s="128"/>
      <c r="D7" s="129"/>
      <c r="E7" s="130"/>
      <c r="F7" s="130"/>
      <c r="G7" s="131"/>
      <c r="H7" s="132"/>
      <c r="I7" s="324" t="s">
        <v>120</v>
      </c>
      <c r="J7" s="324"/>
      <c r="K7" s="324"/>
      <c r="L7" s="324"/>
      <c r="M7" s="351" t="s">
        <v>121</v>
      </c>
      <c r="N7" s="352"/>
    </row>
    <row r="8" spans="2:14" ht="19.5" thickBot="1" x14ac:dyDescent="0.35">
      <c r="C8" s="133"/>
      <c r="D8" s="133"/>
      <c r="F8" s="133"/>
      <c r="G8" s="133"/>
      <c r="H8" s="134"/>
      <c r="I8" s="325" t="s">
        <v>38</v>
      </c>
      <c r="J8" s="325"/>
      <c r="K8" s="325" t="s">
        <v>35</v>
      </c>
      <c r="L8" s="325"/>
      <c r="M8" s="353"/>
      <c r="N8" s="354"/>
    </row>
    <row r="9" spans="2:14" ht="93" customHeight="1" thickBot="1" x14ac:dyDescent="0.3">
      <c r="B9" s="135" t="s">
        <v>122</v>
      </c>
      <c r="C9" s="136" t="s">
        <v>123</v>
      </c>
      <c r="D9" s="137" t="s">
        <v>124</v>
      </c>
      <c r="E9" s="136" t="s">
        <v>125</v>
      </c>
      <c r="F9" s="136" t="s">
        <v>126</v>
      </c>
      <c r="G9" s="136" t="s">
        <v>127</v>
      </c>
      <c r="H9" s="138" t="s">
        <v>128</v>
      </c>
      <c r="I9" s="139" t="s">
        <v>129</v>
      </c>
      <c r="J9" s="140" t="s">
        <v>130</v>
      </c>
      <c r="K9" s="141" t="s">
        <v>131</v>
      </c>
      <c r="L9" s="142" t="s">
        <v>132</v>
      </c>
      <c r="M9" s="137" t="s">
        <v>133</v>
      </c>
      <c r="N9" s="143" t="s">
        <v>134</v>
      </c>
    </row>
    <row r="10" spans="2:14" ht="21" customHeight="1" x14ac:dyDescent="0.25">
      <c r="B10" s="348" t="s">
        <v>135</v>
      </c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50"/>
    </row>
    <row r="11" spans="2:14" x14ac:dyDescent="0.25">
      <c r="B11" s="144" t="s">
        <v>35</v>
      </c>
      <c r="C11" s="332"/>
      <c r="D11" s="333"/>
      <c r="E11" s="334"/>
      <c r="F11" s="145">
        <v>1</v>
      </c>
      <c r="G11" s="338"/>
      <c r="H11" s="339"/>
      <c r="I11" s="342"/>
      <c r="J11" s="343"/>
      <c r="K11" s="177">
        <f>F11*$C$4</f>
        <v>3428000</v>
      </c>
      <c r="L11" s="346"/>
      <c r="M11" s="146"/>
      <c r="N11" s="147"/>
    </row>
    <row r="12" spans="2:14" s="153" customFormat="1" x14ac:dyDescent="0.25">
      <c r="B12" s="148"/>
      <c r="C12" s="335"/>
      <c r="D12" s="336"/>
      <c r="E12" s="337"/>
      <c r="F12" s="149"/>
      <c r="G12" s="340"/>
      <c r="H12" s="341"/>
      <c r="I12" s="344"/>
      <c r="J12" s="345"/>
      <c r="K12" s="150"/>
      <c r="L12" s="347"/>
      <c r="M12" s="151"/>
      <c r="N12" s="152"/>
    </row>
    <row r="13" spans="2:14" s="153" customFormat="1" x14ac:dyDescent="0.25">
      <c r="B13" s="154" t="s">
        <v>38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6"/>
      <c r="M13" s="155"/>
      <c r="N13" s="157"/>
    </row>
    <row r="14" spans="2:14" x14ac:dyDescent="0.25">
      <c r="B14" s="158" t="s">
        <v>49</v>
      </c>
      <c r="C14" s="159">
        <v>1.2868522430722101E-2</v>
      </c>
      <c r="D14" s="160">
        <v>9.3009764971295592</v>
      </c>
      <c r="E14" s="178">
        <f>((1-EXP(-($C$6)*D14))/($C$6))</f>
        <v>8.2987839392375573</v>
      </c>
      <c r="F14" s="326"/>
      <c r="G14" s="161">
        <v>51.551522098487602</v>
      </c>
      <c r="H14" s="179">
        <f>((1-EXP(-($C$6)*G14))/($C$6))</f>
        <v>28.975816036783062</v>
      </c>
      <c r="I14" s="180">
        <f>C14*E14*$C$5</f>
        <v>13989.894432343121</v>
      </c>
      <c r="J14" s="181">
        <f>C14*E14*$C$5/2</f>
        <v>6994.9472161715603</v>
      </c>
      <c r="K14" s="329"/>
      <c r="L14" s="182">
        <f>H14*$C$5</f>
        <v>3795831.9008185812</v>
      </c>
      <c r="M14" s="162">
        <v>2523</v>
      </c>
      <c r="N14" s="183">
        <f>M14*E14</f>
        <v>20937.831878696357</v>
      </c>
    </row>
    <row r="15" spans="2:14" ht="66" customHeight="1" x14ac:dyDescent="0.25">
      <c r="B15" s="163" t="s">
        <v>75</v>
      </c>
      <c r="C15" s="164" t="s">
        <v>136</v>
      </c>
      <c r="D15" s="164" t="s">
        <v>136</v>
      </c>
      <c r="E15" s="164" t="s">
        <v>137</v>
      </c>
      <c r="F15" s="327"/>
      <c r="G15" s="164" t="s">
        <v>136</v>
      </c>
      <c r="H15" s="165" t="s">
        <v>138</v>
      </c>
      <c r="I15" s="166" t="s">
        <v>139</v>
      </c>
      <c r="J15" s="167" t="s">
        <v>140</v>
      </c>
      <c r="K15" s="330"/>
      <c r="L15" s="168" t="s">
        <v>141</v>
      </c>
      <c r="M15" s="165" t="s">
        <v>142</v>
      </c>
      <c r="N15" s="165" t="s">
        <v>143</v>
      </c>
    </row>
    <row r="16" spans="2:14" x14ac:dyDescent="0.25">
      <c r="B16" s="158" t="s">
        <v>104</v>
      </c>
      <c r="C16" s="159">
        <v>0.12690250950980411</v>
      </c>
      <c r="D16" s="160">
        <v>10.85710332623022</v>
      </c>
      <c r="E16" s="178">
        <f>((1-EXP(-($C$6)*D16))/($C$6))</f>
        <v>9.5083806343782076</v>
      </c>
      <c r="F16" s="327"/>
      <c r="G16" s="169">
        <v>52.451967592738079</v>
      </c>
      <c r="H16" s="179">
        <f>((1-EXP(-($C$6)*G16))/($C$6))</f>
        <v>29.22121053880451</v>
      </c>
      <c r="I16" s="180">
        <f>C16*E16*$C$5</f>
        <v>158069.49466788935</v>
      </c>
      <c r="J16" s="181">
        <f>C16*E16*$C$5/2</f>
        <v>79034.747333944673</v>
      </c>
      <c r="K16" s="330"/>
      <c r="L16" s="182">
        <f>H16*$C$5</f>
        <v>3827978.5805833908</v>
      </c>
      <c r="M16" s="162">
        <v>4096</v>
      </c>
      <c r="N16" s="183">
        <f>M16*E16</f>
        <v>38946.327078413138</v>
      </c>
    </row>
    <row r="17" spans="2:14" ht="45" x14ac:dyDescent="0.25">
      <c r="B17" s="163" t="s">
        <v>75</v>
      </c>
      <c r="C17" s="164" t="s">
        <v>144</v>
      </c>
      <c r="D17" s="164" t="s">
        <v>144</v>
      </c>
      <c r="E17" s="164" t="s">
        <v>137</v>
      </c>
      <c r="F17" s="327"/>
      <c r="G17" s="164" t="s">
        <v>144</v>
      </c>
      <c r="H17" s="165" t="s">
        <v>138</v>
      </c>
      <c r="I17" s="166" t="s">
        <v>139</v>
      </c>
      <c r="J17" s="167" t="s">
        <v>140</v>
      </c>
      <c r="K17" s="330"/>
      <c r="L17" s="168" t="s">
        <v>141</v>
      </c>
      <c r="M17" s="165" t="s">
        <v>145</v>
      </c>
      <c r="N17" s="165" t="s">
        <v>143</v>
      </c>
    </row>
    <row r="18" spans="2:14" x14ac:dyDescent="0.25">
      <c r="B18" s="158" t="s">
        <v>55</v>
      </c>
      <c r="C18" s="159">
        <v>8.3893609807790037E-2</v>
      </c>
      <c r="D18" s="160">
        <v>11.441898963757499</v>
      </c>
      <c r="E18" s="178">
        <f>((1-EXP(-($C$6)*D18))/($C$6))</f>
        <v>9.9509219487413869</v>
      </c>
      <c r="F18" s="327"/>
      <c r="G18" s="169">
        <v>50.869307096644313</v>
      </c>
      <c r="H18" s="179">
        <f>((1-EXP(-($C$6)*G18))/($C$6))</f>
        <v>28.786181900859646</v>
      </c>
      <c r="I18" s="180">
        <f>C18*E18*$C$5</f>
        <v>109361.25797860834</v>
      </c>
      <c r="J18" s="181">
        <f>C18*E18*$C$5/2</f>
        <v>54680.628989304168</v>
      </c>
      <c r="K18" s="330"/>
      <c r="L18" s="182">
        <f>H18*$C$5</f>
        <v>3770989.8290126137</v>
      </c>
      <c r="M18" s="162">
        <v>4720</v>
      </c>
      <c r="N18" s="183">
        <f>M18*E18</f>
        <v>46968.351598059344</v>
      </c>
    </row>
    <row r="19" spans="2:14" ht="45" x14ac:dyDescent="0.25">
      <c r="B19" s="163" t="s">
        <v>75</v>
      </c>
      <c r="C19" s="164" t="s">
        <v>146</v>
      </c>
      <c r="D19" s="164" t="s">
        <v>146</v>
      </c>
      <c r="E19" s="164" t="s">
        <v>137</v>
      </c>
      <c r="F19" s="327"/>
      <c r="G19" s="164" t="s">
        <v>146</v>
      </c>
      <c r="H19" s="165" t="s">
        <v>138</v>
      </c>
      <c r="I19" s="166" t="s">
        <v>139</v>
      </c>
      <c r="J19" s="167" t="s">
        <v>140</v>
      </c>
      <c r="K19" s="330"/>
      <c r="L19" s="168" t="s">
        <v>141</v>
      </c>
      <c r="M19" s="165" t="s">
        <v>147</v>
      </c>
      <c r="N19" s="165" t="s">
        <v>143</v>
      </c>
    </row>
    <row r="20" spans="2:14" x14ac:dyDescent="0.25">
      <c r="B20" s="158" t="s">
        <v>56</v>
      </c>
      <c r="C20" s="159">
        <v>9.6902770681798159E-2</v>
      </c>
      <c r="D20" s="160">
        <v>5.4718454401240386</v>
      </c>
      <c r="E20" s="178">
        <f>((1-EXP(-($C$6)*D20))/($C$6))</f>
        <v>5.114079696456435</v>
      </c>
      <c r="F20" s="327"/>
      <c r="G20" s="169">
        <v>51.681429390541695</v>
      </c>
      <c r="H20" s="179">
        <f>((1-EXP(-($C$6)*G20))/($C$6))</f>
        <v>29.011561008353333</v>
      </c>
      <c r="I20" s="180">
        <f>C20*E20*$C$5</f>
        <v>64919.472461714679</v>
      </c>
      <c r="J20" s="181">
        <f>C20*E20*$C$5/2</f>
        <v>32459.736230857339</v>
      </c>
      <c r="K20" s="330"/>
      <c r="L20" s="182">
        <f>H20*$C$5</f>
        <v>3800514.4920942867</v>
      </c>
      <c r="M20" s="162">
        <v>5224</v>
      </c>
      <c r="N20" s="183">
        <f>M20*E20</f>
        <v>26715.952334288417</v>
      </c>
    </row>
    <row r="21" spans="2:14" ht="45" x14ac:dyDescent="0.25">
      <c r="B21" s="163" t="s">
        <v>75</v>
      </c>
      <c r="C21" s="164" t="s">
        <v>148</v>
      </c>
      <c r="D21" s="164" t="s">
        <v>148</v>
      </c>
      <c r="E21" s="164" t="s">
        <v>137</v>
      </c>
      <c r="F21" s="327"/>
      <c r="G21" s="164" t="s">
        <v>148</v>
      </c>
      <c r="H21" s="165" t="s">
        <v>138</v>
      </c>
      <c r="I21" s="166" t="s">
        <v>139</v>
      </c>
      <c r="J21" s="167" t="s">
        <v>140</v>
      </c>
      <c r="K21" s="330"/>
      <c r="L21" s="168" t="s">
        <v>141</v>
      </c>
      <c r="M21" s="165" t="s">
        <v>149</v>
      </c>
      <c r="N21" s="165" t="s">
        <v>143</v>
      </c>
    </row>
    <row r="22" spans="2:14" x14ac:dyDescent="0.25">
      <c r="B22" s="158" t="s">
        <v>57</v>
      </c>
      <c r="C22" s="159">
        <v>0.10052380402004245</v>
      </c>
      <c r="D22" s="160">
        <v>2.096509773294533</v>
      </c>
      <c r="E22" s="178">
        <f>((1-EXP(-($C$6)*D22))/($C$6))</f>
        <v>2.042515296589773</v>
      </c>
      <c r="F22" s="327"/>
      <c r="G22" s="169">
        <v>51.351136440245646</v>
      </c>
      <c r="H22" s="179">
        <f>((1-EXP(-($C$6)*G22))/($C$6))</f>
        <v>28.920450262232688</v>
      </c>
      <c r="I22" s="180">
        <f>C22*E22*$C$5</f>
        <v>26897.104367085125</v>
      </c>
      <c r="J22" s="181">
        <f>C22*E22*$C$5/2</f>
        <v>13448.552183542562</v>
      </c>
      <c r="K22" s="330"/>
      <c r="L22" s="182">
        <f>H22*$C$5</f>
        <v>3788578.984352482</v>
      </c>
      <c r="M22" s="162">
        <v>5733</v>
      </c>
      <c r="N22" s="183">
        <f>M22*E22</f>
        <v>11709.740195349168</v>
      </c>
    </row>
    <row r="23" spans="2:14" ht="45" x14ac:dyDescent="0.25">
      <c r="B23" s="163" t="s">
        <v>75</v>
      </c>
      <c r="C23" s="164" t="s">
        <v>150</v>
      </c>
      <c r="D23" s="164" t="s">
        <v>150</v>
      </c>
      <c r="E23" s="164" t="s">
        <v>137</v>
      </c>
      <c r="F23" s="327"/>
      <c r="G23" s="164" t="s">
        <v>150</v>
      </c>
      <c r="H23" s="165" t="s">
        <v>138</v>
      </c>
      <c r="I23" s="166" t="s">
        <v>139</v>
      </c>
      <c r="J23" s="167" t="s">
        <v>140</v>
      </c>
      <c r="K23" s="330"/>
      <c r="L23" s="168" t="s">
        <v>141</v>
      </c>
      <c r="M23" s="165" t="s">
        <v>151</v>
      </c>
      <c r="N23" s="165" t="s">
        <v>143</v>
      </c>
    </row>
    <row r="24" spans="2:14" x14ac:dyDescent="0.25">
      <c r="B24" s="158" t="s">
        <v>58</v>
      </c>
      <c r="C24" s="159">
        <v>8.1279782304607168E-2</v>
      </c>
      <c r="D24" s="160">
        <v>6.1818294824210609</v>
      </c>
      <c r="E24" s="178">
        <f>((1-EXP(-($C$6)*D24))/($C$6))</f>
        <v>5.7278278585748987</v>
      </c>
      <c r="F24" s="327"/>
      <c r="G24" s="169">
        <v>51.467187275715624</v>
      </c>
      <c r="H24" s="179">
        <f>((1-EXP(-($C$6)*G24))/($C$6))</f>
        <v>28.952548452038165</v>
      </c>
      <c r="I24" s="180">
        <f>C24*E24*$C$5</f>
        <v>60987.914786443398</v>
      </c>
      <c r="J24" s="181">
        <f>C24*E24*$C$5/2</f>
        <v>30493.957393221699</v>
      </c>
      <c r="K24" s="330"/>
      <c r="L24" s="182">
        <f>H24*$C$5</f>
        <v>3792783.8472169996</v>
      </c>
      <c r="M24" s="162">
        <v>5733</v>
      </c>
      <c r="N24" s="183">
        <f>M24*E24</f>
        <v>32837.637113209894</v>
      </c>
    </row>
    <row r="25" spans="2:14" ht="45" x14ac:dyDescent="0.25">
      <c r="B25" s="163" t="s">
        <v>75</v>
      </c>
      <c r="C25" s="164" t="s">
        <v>152</v>
      </c>
      <c r="D25" s="164" t="s">
        <v>152</v>
      </c>
      <c r="E25" s="164" t="s">
        <v>137</v>
      </c>
      <c r="F25" s="327"/>
      <c r="G25" s="164" t="s">
        <v>152</v>
      </c>
      <c r="H25" s="165" t="s">
        <v>138</v>
      </c>
      <c r="I25" s="166" t="s">
        <v>139</v>
      </c>
      <c r="J25" s="167" t="s">
        <v>140</v>
      </c>
      <c r="K25" s="330"/>
      <c r="L25" s="168" t="s">
        <v>141</v>
      </c>
      <c r="M25" s="165" t="s">
        <v>151</v>
      </c>
      <c r="N25" s="165" t="s">
        <v>143</v>
      </c>
    </row>
    <row r="26" spans="2:14" x14ac:dyDescent="0.25">
      <c r="B26" s="158" t="s">
        <v>59</v>
      </c>
      <c r="C26" s="159">
        <v>0.11197622921123297</v>
      </c>
      <c r="D26" s="160">
        <v>1.9993744670748206</v>
      </c>
      <c r="E26" s="178">
        <f>((1-EXP(-($C$6)*D26))/($C$6))</f>
        <v>1.9502279899943931</v>
      </c>
      <c r="F26" s="327"/>
      <c r="G26" s="169">
        <v>51.005309904416016</v>
      </c>
      <c r="H26" s="179">
        <f>((1-EXP(-($C$6)*G26))/($C$6))</f>
        <v>28.824244924397945</v>
      </c>
      <c r="I26" s="180">
        <f>C26*E26*$C$5</f>
        <v>28607.672111252436</v>
      </c>
      <c r="J26" s="181">
        <f>C26*E26*$C$5/2</f>
        <v>14303.836055626218</v>
      </c>
      <c r="K26" s="330"/>
      <c r="L26" s="182">
        <f>H26*$C5</f>
        <v>3775976.0850961306</v>
      </c>
      <c r="M26" s="162">
        <v>5733</v>
      </c>
      <c r="N26" s="183">
        <f>M26*E26</f>
        <v>11180.657066637856</v>
      </c>
    </row>
    <row r="27" spans="2:14" ht="45" x14ac:dyDescent="0.25">
      <c r="B27" s="163" t="s">
        <v>75</v>
      </c>
      <c r="C27" s="164" t="s">
        <v>153</v>
      </c>
      <c r="D27" s="164" t="s">
        <v>153</v>
      </c>
      <c r="E27" s="164" t="s">
        <v>137</v>
      </c>
      <c r="F27" s="327"/>
      <c r="G27" s="164" t="s">
        <v>153</v>
      </c>
      <c r="H27" s="165" t="s">
        <v>138</v>
      </c>
      <c r="I27" s="166" t="s">
        <v>139</v>
      </c>
      <c r="J27" s="167" t="s">
        <v>140</v>
      </c>
      <c r="K27" s="330"/>
      <c r="L27" s="168" t="s">
        <v>141</v>
      </c>
      <c r="M27" s="165" t="s">
        <v>151</v>
      </c>
      <c r="N27" s="165" t="s">
        <v>143</v>
      </c>
    </row>
    <row r="28" spans="2:14" x14ac:dyDescent="0.25">
      <c r="B28" s="158" t="s">
        <v>60</v>
      </c>
      <c r="C28" s="159">
        <v>5.5360080316172185E-2</v>
      </c>
      <c r="D28" s="160">
        <v>21.835289461015847</v>
      </c>
      <c r="E28" s="178">
        <f>((1-EXP(-($C$6)*D28))/($C$6))</f>
        <v>16.826781946772538</v>
      </c>
      <c r="F28" s="327"/>
      <c r="G28" s="169">
        <v>52.083513564260237</v>
      </c>
      <c r="H28" s="179">
        <f>((1-EXP(-($C$6)*G28))/($C$6))</f>
        <v>29.121464636861962</v>
      </c>
      <c r="I28" s="180">
        <f>C28*E28*$C$5</f>
        <v>122030.69200472174</v>
      </c>
      <c r="J28" s="181">
        <f>C28*E28*$C$5/2</f>
        <v>61015.346002360871</v>
      </c>
      <c r="K28" s="330"/>
      <c r="L28" s="182">
        <f>H28*$C$5</f>
        <v>3814911.867428917</v>
      </c>
      <c r="M28" s="162">
        <v>2170</v>
      </c>
      <c r="N28" s="183">
        <f>M28*E28</f>
        <v>36514.116824496406</v>
      </c>
    </row>
    <row r="29" spans="2:14" ht="45" x14ac:dyDescent="0.25">
      <c r="B29" s="163" t="s">
        <v>75</v>
      </c>
      <c r="C29" s="164" t="s">
        <v>154</v>
      </c>
      <c r="D29" s="164" t="s">
        <v>154</v>
      </c>
      <c r="E29" s="164" t="s">
        <v>137</v>
      </c>
      <c r="F29" s="327"/>
      <c r="G29" s="164" t="s">
        <v>154</v>
      </c>
      <c r="H29" s="165" t="s">
        <v>138</v>
      </c>
      <c r="I29" s="166" t="s">
        <v>139</v>
      </c>
      <c r="J29" s="167" t="s">
        <v>140</v>
      </c>
      <c r="K29" s="330"/>
      <c r="L29" s="168" t="s">
        <v>141</v>
      </c>
      <c r="M29" s="165" t="s">
        <v>155</v>
      </c>
      <c r="N29" s="165" t="s">
        <v>143</v>
      </c>
    </row>
    <row r="30" spans="2:14" x14ac:dyDescent="0.25">
      <c r="B30" s="158" t="s">
        <v>61</v>
      </c>
      <c r="C30" s="159">
        <v>4.5728596075070953E-2</v>
      </c>
      <c r="D30" s="160">
        <v>12.798651424043726</v>
      </c>
      <c r="E30" s="178">
        <f>((1-EXP(-($C$6)*D30))/($C$6))</f>
        <v>10.953059233412409</v>
      </c>
      <c r="F30" s="327"/>
      <c r="G30" s="169">
        <v>53.099378057036901</v>
      </c>
      <c r="H30" s="179">
        <f>((1-EXP(-($C$6)*G30))/($C$6))</f>
        <v>29.394263831860002</v>
      </c>
      <c r="I30" s="180">
        <f>C30*E30*$C$5</f>
        <v>65613.710812706544</v>
      </c>
      <c r="J30" s="181">
        <f>C30*E30*$C$5/2</f>
        <v>32806.855406353272</v>
      </c>
      <c r="K30" s="330"/>
      <c r="L30" s="182">
        <f>H30*$C$5</f>
        <v>3850648.5619736603</v>
      </c>
      <c r="M30" s="162">
        <v>950</v>
      </c>
      <c r="N30" s="183">
        <f>M30*E30</f>
        <v>10405.406271741789</v>
      </c>
    </row>
    <row r="31" spans="2:14" ht="45" customHeight="1" x14ac:dyDescent="0.25">
      <c r="B31" s="163" t="s">
        <v>75</v>
      </c>
      <c r="C31" s="164" t="s">
        <v>156</v>
      </c>
      <c r="D31" s="164" t="s">
        <v>156</v>
      </c>
      <c r="E31" s="164" t="s">
        <v>137</v>
      </c>
      <c r="F31" s="327"/>
      <c r="G31" s="164" t="s">
        <v>156</v>
      </c>
      <c r="H31" s="165" t="s">
        <v>138</v>
      </c>
      <c r="I31" s="166" t="s">
        <v>139</v>
      </c>
      <c r="J31" s="167" t="s">
        <v>140</v>
      </c>
      <c r="K31" s="330"/>
      <c r="L31" s="168" t="s">
        <v>141</v>
      </c>
      <c r="M31" s="165" t="s">
        <v>157</v>
      </c>
      <c r="N31" s="165" t="s">
        <v>143</v>
      </c>
    </row>
    <row r="32" spans="2:14" x14ac:dyDescent="0.25">
      <c r="B32" s="158" t="s">
        <v>62</v>
      </c>
      <c r="C32" s="159">
        <v>0</v>
      </c>
      <c r="D32" s="160">
        <v>7.3215633435643177</v>
      </c>
      <c r="E32" s="178">
        <f>((1-EXP(-($C$6)*D32))/($C$6))</f>
        <v>6.6905756478120182</v>
      </c>
      <c r="F32" s="327"/>
      <c r="G32" s="169">
        <v>0</v>
      </c>
      <c r="H32" s="179">
        <f>((1-EXP(-($C$6)*G32))/($C$6))</f>
        <v>0</v>
      </c>
      <c r="I32" s="180">
        <f>C32*E32*$C$5</f>
        <v>0</v>
      </c>
      <c r="J32" s="181">
        <f>C32*E32*$C$5/2</f>
        <v>0</v>
      </c>
      <c r="K32" s="330"/>
      <c r="L32" s="182">
        <f>H32*$C$5</f>
        <v>0</v>
      </c>
      <c r="M32" s="162">
        <v>3400</v>
      </c>
      <c r="N32" s="183">
        <f>M32*E32</f>
        <v>22747.957202560861</v>
      </c>
    </row>
    <row r="33" spans="2:14" ht="48.75" customHeight="1" x14ac:dyDescent="0.25">
      <c r="B33" s="163" t="s">
        <v>75</v>
      </c>
      <c r="C33" s="164" t="s">
        <v>158</v>
      </c>
      <c r="D33" s="164" t="s">
        <v>158</v>
      </c>
      <c r="E33" s="164" t="s">
        <v>137</v>
      </c>
      <c r="F33" s="327"/>
      <c r="G33" s="164" t="s">
        <v>158</v>
      </c>
      <c r="H33" s="165" t="s">
        <v>138</v>
      </c>
      <c r="I33" s="166" t="s">
        <v>139</v>
      </c>
      <c r="J33" s="167" t="s">
        <v>140</v>
      </c>
      <c r="K33" s="330"/>
      <c r="L33" s="168" t="s">
        <v>141</v>
      </c>
      <c r="M33" s="165" t="s">
        <v>159</v>
      </c>
      <c r="N33" s="165" t="s">
        <v>143</v>
      </c>
    </row>
    <row r="34" spans="2:14" x14ac:dyDescent="0.25">
      <c r="B34" s="158" t="s">
        <v>63</v>
      </c>
      <c r="C34" s="159">
        <v>0.16787433177959246</v>
      </c>
      <c r="D34" s="160">
        <v>9.1009518542916492</v>
      </c>
      <c r="E34" s="178">
        <f>((1-EXP(-($C$6)*D34))/($C$6))</f>
        <v>8.1398613043648105</v>
      </c>
      <c r="F34" s="327"/>
      <c r="G34" s="169">
        <v>53.432576578454452</v>
      </c>
      <c r="H34" s="179">
        <f>((1-EXP(-($C$6)*G34))/($C$6))</f>
        <v>29.482242284751734</v>
      </c>
      <c r="I34" s="180">
        <f>C34*E34*$C$5</f>
        <v>179008.06481959339</v>
      </c>
      <c r="J34" s="181">
        <f>C34*E34*$C$5/2</f>
        <v>89504.032409796695</v>
      </c>
      <c r="K34" s="330"/>
      <c r="L34" s="182">
        <f>H34*$C$5</f>
        <v>3862173.7393024773</v>
      </c>
      <c r="M34" s="162">
        <v>3950</v>
      </c>
      <c r="N34" s="183">
        <f>M34*E34</f>
        <v>32152.452152241003</v>
      </c>
    </row>
    <row r="35" spans="2:14" ht="45.75" thickBot="1" x14ac:dyDescent="0.3">
      <c r="B35" s="170" t="s">
        <v>75</v>
      </c>
      <c r="C35" s="171" t="s">
        <v>160</v>
      </c>
      <c r="D35" s="171" t="s">
        <v>160</v>
      </c>
      <c r="E35" s="171" t="s">
        <v>137</v>
      </c>
      <c r="F35" s="328"/>
      <c r="G35" s="171" t="s">
        <v>160</v>
      </c>
      <c r="H35" s="172" t="s">
        <v>138</v>
      </c>
      <c r="I35" s="173" t="s">
        <v>139</v>
      </c>
      <c r="J35" s="174" t="s">
        <v>140</v>
      </c>
      <c r="K35" s="331"/>
      <c r="L35" s="175" t="s">
        <v>141</v>
      </c>
      <c r="M35" s="172" t="s">
        <v>161</v>
      </c>
      <c r="N35" s="172" t="s">
        <v>143</v>
      </c>
    </row>
    <row r="36" spans="2:14" ht="21" customHeight="1" x14ac:dyDescent="0.25">
      <c r="B36" s="348" t="s">
        <v>162</v>
      </c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50"/>
    </row>
    <row r="37" spans="2:14" x14ac:dyDescent="0.25">
      <c r="B37" s="144" t="s">
        <v>35</v>
      </c>
      <c r="C37" s="332"/>
      <c r="D37" s="333"/>
      <c r="E37" s="334"/>
      <c r="F37" s="145">
        <v>1</v>
      </c>
      <c r="G37" s="338"/>
      <c r="H37" s="339"/>
      <c r="I37" s="342"/>
      <c r="J37" s="343"/>
      <c r="K37" s="177">
        <f>F37*$C$4</f>
        <v>3428000</v>
      </c>
      <c r="L37" s="346"/>
      <c r="M37" s="146"/>
      <c r="N37" s="147"/>
    </row>
    <row r="38" spans="2:14" x14ac:dyDescent="0.25">
      <c r="B38" s="148"/>
      <c r="C38" s="335"/>
      <c r="D38" s="336"/>
      <c r="E38" s="337"/>
      <c r="F38" s="149"/>
      <c r="G38" s="340"/>
      <c r="H38" s="341"/>
      <c r="I38" s="344"/>
      <c r="J38" s="345"/>
      <c r="K38" s="150"/>
      <c r="L38" s="347"/>
      <c r="M38" s="151"/>
      <c r="N38" s="152"/>
    </row>
    <row r="39" spans="2:14" x14ac:dyDescent="0.25">
      <c r="B39" s="154" t="s">
        <v>38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6"/>
      <c r="M39" s="155"/>
      <c r="N39" s="157"/>
    </row>
    <row r="40" spans="2:14" x14ac:dyDescent="0.25">
      <c r="B40" s="158" t="s">
        <v>49</v>
      </c>
      <c r="C40" s="176">
        <v>2.3347851285967187E-2</v>
      </c>
      <c r="D40" s="160">
        <v>9.3009764971295645</v>
      </c>
      <c r="E40" s="178">
        <f>((1-EXP(-($C$6)*D40))/($C$6))</f>
        <v>8.2987839392375609</v>
      </c>
      <c r="F40" s="326"/>
      <c r="G40" s="169">
        <v>24.571457296642858</v>
      </c>
      <c r="H40" s="179">
        <f>((1-EXP(-($C$6)*G40))/($C$6))</f>
        <v>18.358927327963464</v>
      </c>
      <c r="I40" s="180">
        <f>C40*E40*$C$5</f>
        <v>25382.39929806759</v>
      </c>
      <c r="J40" s="181">
        <f>C40*E40*$C$5/2</f>
        <v>12691.199649033795</v>
      </c>
      <c r="K40" s="329"/>
      <c r="L40" s="182">
        <f>H40*$C$5</f>
        <v>2405019.4799632137</v>
      </c>
      <c r="M40" s="162">
        <v>2523</v>
      </c>
      <c r="N40" s="183">
        <f>M40*E40</f>
        <v>20937.831878696365</v>
      </c>
    </row>
    <row r="41" spans="2:14" ht="56.25" x14ac:dyDescent="0.25">
      <c r="B41" s="163" t="s">
        <v>75</v>
      </c>
      <c r="C41" s="164" t="s">
        <v>136</v>
      </c>
      <c r="D41" s="164" t="s">
        <v>136</v>
      </c>
      <c r="E41" s="164" t="s">
        <v>137</v>
      </c>
      <c r="F41" s="327"/>
      <c r="G41" s="164" t="s">
        <v>136</v>
      </c>
      <c r="H41" s="165" t="s">
        <v>138</v>
      </c>
      <c r="I41" s="166" t="s">
        <v>139</v>
      </c>
      <c r="J41" s="167" t="s">
        <v>140</v>
      </c>
      <c r="K41" s="330"/>
      <c r="L41" s="168" t="s">
        <v>141</v>
      </c>
      <c r="M41" s="165" t="s">
        <v>142</v>
      </c>
      <c r="N41" s="165" t="s">
        <v>143</v>
      </c>
    </row>
    <row r="42" spans="2:14" x14ac:dyDescent="0.25">
      <c r="B42" s="158" t="s">
        <v>104</v>
      </c>
      <c r="C42" s="176">
        <v>0.13263444786000253</v>
      </c>
      <c r="D42" s="160">
        <v>10.85710332623022</v>
      </c>
      <c r="E42" s="178">
        <f>((1-EXP(-($C$6)*D42))/($C$6))</f>
        <v>9.5083806343782076</v>
      </c>
      <c r="F42" s="327"/>
      <c r="G42" s="169">
        <v>21.725826754159264</v>
      </c>
      <c r="H42" s="179">
        <f>((1-EXP(-($C$6)*G42))/($C$6))</f>
        <v>16.763280018372715</v>
      </c>
      <c r="I42" s="180">
        <f>C42*E42*$C$5</f>
        <v>165209.18482833775</v>
      </c>
      <c r="J42" s="181">
        <f>C42*E42*$C$5/2</f>
        <v>82604.592414168874</v>
      </c>
      <c r="K42" s="330"/>
      <c r="L42" s="182">
        <f>H42*$C$5</f>
        <v>2195989.6824068255</v>
      </c>
      <c r="M42" s="162">
        <v>4096</v>
      </c>
      <c r="N42" s="183">
        <f>M42*E42</f>
        <v>38946.327078413138</v>
      </c>
    </row>
    <row r="43" spans="2:14" ht="45" x14ac:dyDescent="0.25">
      <c r="B43" s="163" t="s">
        <v>75</v>
      </c>
      <c r="C43" s="164" t="s">
        <v>144</v>
      </c>
      <c r="D43" s="164" t="s">
        <v>144</v>
      </c>
      <c r="E43" s="164" t="s">
        <v>137</v>
      </c>
      <c r="F43" s="327"/>
      <c r="G43" s="164" t="s">
        <v>144</v>
      </c>
      <c r="H43" s="165" t="s">
        <v>138</v>
      </c>
      <c r="I43" s="166" t="s">
        <v>139</v>
      </c>
      <c r="J43" s="167" t="s">
        <v>140</v>
      </c>
      <c r="K43" s="330"/>
      <c r="L43" s="168" t="s">
        <v>141</v>
      </c>
      <c r="M43" s="165" t="s">
        <v>145</v>
      </c>
      <c r="N43" s="165" t="s">
        <v>143</v>
      </c>
    </row>
    <row r="44" spans="2:14" x14ac:dyDescent="0.25">
      <c r="B44" s="158" t="s">
        <v>55</v>
      </c>
      <c r="C44" s="176">
        <v>6.8696198761013585E-2</v>
      </c>
      <c r="D44" s="160">
        <v>11.441898963757499</v>
      </c>
      <c r="E44" s="178">
        <f>((1-EXP(-($C$6)*D44))/($C$6))</f>
        <v>9.9509219487413869</v>
      </c>
      <c r="F44" s="327"/>
      <c r="G44" s="169">
        <v>26.629707245090085</v>
      </c>
      <c r="H44" s="179">
        <f>((1-EXP(-($C$6)*G44))/($C$6))</f>
        <v>19.444330869658785</v>
      </c>
      <c r="I44" s="180">
        <f>C44*E44*$C$5</f>
        <v>89550.357078035289</v>
      </c>
      <c r="J44" s="181">
        <f>C44*E44*$C$5/2</f>
        <v>44775.178539017645</v>
      </c>
      <c r="K44" s="330"/>
      <c r="L44" s="182">
        <f>H44*$C$5</f>
        <v>2547207.343925301</v>
      </c>
      <c r="M44" s="162">
        <v>4720</v>
      </c>
      <c r="N44" s="183">
        <f>M44*E44</f>
        <v>46968.351598059344</v>
      </c>
    </row>
    <row r="45" spans="2:14" ht="45" x14ac:dyDescent="0.25">
      <c r="B45" s="163" t="s">
        <v>75</v>
      </c>
      <c r="C45" s="164" t="s">
        <v>146</v>
      </c>
      <c r="D45" s="164" t="s">
        <v>146</v>
      </c>
      <c r="E45" s="164" t="s">
        <v>137</v>
      </c>
      <c r="F45" s="327"/>
      <c r="G45" s="164" t="s">
        <v>146</v>
      </c>
      <c r="H45" s="165" t="s">
        <v>138</v>
      </c>
      <c r="I45" s="166" t="s">
        <v>139</v>
      </c>
      <c r="J45" s="167" t="s">
        <v>140</v>
      </c>
      <c r="K45" s="330"/>
      <c r="L45" s="168" t="s">
        <v>141</v>
      </c>
      <c r="M45" s="165" t="s">
        <v>147</v>
      </c>
      <c r="N45" s="165" t="s">
        <v>143</v>
      </c>
    </row>
    <row r="46" spans="2:14" x14ac:dyDescent="0.25">
      <c r="B46" s="158" t="s">
        <v>56</v>
      </c>
      <c r="C46" s="176">
        <v>8.647992257330514E-2</v>
      </c>
      <c r="D46" s="160">
        <v>5.4718454401240386</v>
      </c>
      <c r="E46" s="178">
        <f>((1-EXP(-($C$6)*D46))/($C$6))</f>
        <v>5.114079696456435</v>
      </c>
      <c r="F46" s="327"/>
      <c r="G46" s="169">
        <v>24.128178690771069</v>
      </c>
      <c r="H46" s="179">
        <f>((1-EXP(-($C$6)*G46))/($C$6))</f>
        <v>18.117767922871199</v>
      </c>
      <c r="I46" s="180">
        <f>C46*E46*$C$5</f>
        <v>57936.743320007634</v>
      </c>
      <c r="J46" s="181">
        <f>C46*E46*$C$5/2</f>
        <v>28968.371660003817</v>
      </c>
      <c r="K46" s="330"/>
      <c r="L46" s="182">
        <f>H46*$C$5</f>
        <v>2373427.597896127</v>
      </c>
      <c r="M46" s="162">
        <v>5224</v>
      </c>
      <c r="N46" s="183">
        <f>M46*E46</f>
        <v>26715.952334288417</v>
      </c>
    </row>
    <row r="47" spans="2:14" ht="45" x14ac:dyDescent="0.25">
      <c r="B47" s="163" t="s">
        <v>75</v>
      </c>
      <c r="C47" s="164" t="s">
        <v>148</v>
      </c>
      <c r="D47" s="164" t="s">
        <v>148</v>
      </c>
      <c r="E47" s="164" t="s">
        <v>137</v>
      </c>
      <c r="F47" s="327"/>
      <c r="G47" s="164" t="s">
        <v>148</v>
      </c>
      <c r="H47" s="165" t="s">
        <v>138</v>
      </c>
      <c r="I47" s="166" t="s">
        <v>139</v>
      </c>
      <c r="J47" s="167" t="s">
        <v>140</v>
      </c>
      <c r="K47" s="330"/>
      <c r="L47" s="168" t="s">
        <v>141</v>
      </c>
      <c r="M47" s="165" t="s">
        <v>149</v>
      </c>
      <c r="N47" s="165" t="s">
        <v>143</v>
      </c>
    </row>
    <row r="48" spans="2:14" x14ac:dyDescent="0.25">
      <c r="B48" s="158" t="s">
        <v>57</v>
      </c>
      <c r="C48" s="176">
        <v>0.11705873837033876</v>
      </c>
      <c r="D48" s="160">
        <v>2.096509773294533</v>
      </c>
      <c r="E48" s="178">
        <f>((1-EXP(-($C$6)*D48))/($C$6))</f>
        <v>2.042515296589773</v>
      </c>
      <c r="F48" s="327"/>
      <c r="G48" s="169">
        <v>24.890172290762223</v>
      </c>
      <c r="H48" s="179">
        <f>((1-EXP(-($C$6)*G48))/($C$6))</f>
        <v>18.530675543905453</v>
      </c>
      <c r="I48" s="180">
        <f>C48*E48*$C$5</f>
        <v>31321.348547440142</v>
      </c>
      <c r="J48" s="181">
        <f>C48*E48*$C$5/2</f>
        <v>15660.674273720071</v>
      </c>
      <c r="K48" s="330"/>
      <c r="L48" s="182">
        <f>H48*$C$5</f>
        <v>2427518.4962516143</v>
      </c>
      <c r="M48" s="162">
        <v>5733</v>
      </c>
      <c r="N48" s="183">
        <f>M48*E48</f>
        <v>11709.740195349168</v>
      </c>
    </row>
    <row r="49" spans="2:14" ht="45" x14ac:dyDescent="0.25">
      <c r="B49" s="163" t="s">
        <v>75</v>
      </c>
      <c r="C49" s="164" t="s">
        <v>150</v>
      </c>
      <c r="D49" s="164" t="s">
        <v>150</v>
      </c>
      <c r="E49" s="164" t="s">
        <v>137</v>
      </c>
      <c r="F49" s="327"/>
      <c r="G49" s="164" t="s">
        <v>150</v>
      </c>
      <c r="H49" s="165" t="s">
        <v>138</v>
      </c>
      <c r="I49" s="166" t="s">
        <v>139</v>
      </c>
      <c r="J49" s="167" t="s">
        <v>140</v>
      </c>
      <c r="K49" s="330"/>
      <c r="L49" s="168" t="s">
        <v>141</v>
      </c>
      <c r="M49" s="165" t="s">
        <v>151</v>
      </c>
      <c r="N49" s="165" t="s">
        <v>143</v>
      </c>
    </row>
    <row r="50" spans="2:14" x14ac:dyDescent="0.25">
      <c r="B50" s="158" t="s">
        <v>58</v>
      </c>
      <c r="C50" s="176">
        <v>8.257723984593103E-2</v>
      </c>
      <c r="D50" s="160">
        <v>6.1818294824210609</v>
      </c>
      <c r="E50" s="178">
        <f>((1-EXP(-($C$6)*D50))/($C$6))</f>
        <v>5.7278278585748987</v>
      </c>
      <c r="F50" s="327"/>
      <c r="G50" s="169">
        <v>23.103051644703203</v>
      </c>
      <c r="H50" s="179">
        <f>((1-EXP(-($C$6)*G50))/($C$6))</f>
        <v>17.549718277490676</v>
      </c>
      <c r="I50" s="180">
        <f>C50*E50*$C$5</f>
        <v>61961.456148460587</v>
      </c>
      <c r="J50" s="181">
        <f>C50*E50*$C$5/2</f>
        <v>30980.728074230294</v>
      </c>
      <c r="K50" s="330"/>
      <c r="L50" s="182">
        <f>H50*$C$5</f>
        <v>2299013.0943512786</v>
      </c>
      <c r="M50" s="162">
        <v>5733</v>
      </c>
      <c r="N50" s="183">
        <f>M50*E50</f>
        <v>32837.637113209894</v>
      </c>
    </row>
    <row r="51" spans="2:14" ht="45" x14ac:dyDescent="0.25">
      <c r="B51" s="163" t="s">
        <v>75</v>
      </c>
      <c r="C51" s="164" t="s">
        <v>152</v>
      </c>
      <c r="D51" s="164" t="s">
        <v>152</v>
      </c>
      <c r="E51" s="164" t="s">
        <v>137</v>
      </c>
      <c r="F51" s="327"/>
      <c r="G51" s="164" t="s">
        <v>152</v>
      </c>
      <c r="H51" s="165" t="s">
        <v>138</v>
      </c>
      <c r="I51" s="166" t="s">
        <v>139</v>
      </c>
      <c r="J51" s="167" t="s">
        <v>140</v>
      </c>
      <c r="K51" s="330"/>
      <c r="L51" s="168" t="s">
        <v>141</v>
      </c>
      <c r="M51" s="165" t="s">
        <v>151</v>
      </c>
      <c r="N51" s="165" t="s">
        <v>143</v>
      </c>
    </row>
    <row r="52" spans="2:14" x14ac:dyDescent="0.25">
      <c r="B52" s="158" t="s">
        <v>59</v>
      </c>
      <c r="C52" s="176">
        <v>0.13751770328333485</v>
      </c>
      <c r="D52" s="160">
        <v>1.9993744670748206</v>
      </c>
      <c r="E52" s="178">
        <f>((1-EXP(-($C$6)*D52))/($C$6))</f>
        <v>1.9502279899943931</v>
      </c>
      <c r="F52" s="327"/>
      <c r="G52" s="169">
        <v>25.244812964478172</v>
      </c>
      <c r="H52" s="179">
        <f>((1-EXP(-($C$6)*G52))/($C$6))</f>
        <v>18.720181612777715</v>
      </c>
      <c r="I52" s="180">
        <f>C52*E52*$C$5</f>
        <v>35133.004502240357</v>
      </c>
      <c r="J52" s="181">
        <f>C52*E52*$C$5/2</f>
        <v>17566.502251120179</v>
      </c>
      <c r="K52" s="330"/>
      <c r="L52" s="182">
        <f>H52*$C$5</f>
        <v>2452343.7912738807</v>
      </c>
      <c r="M52" s="162">
        <v>5733</v>
      </c>
      <c r="N52" s="183">
        <f>M52*E52</f>
        <v>11180.657066637856</v>
      </c>
    </row>
    <row r="53" spans="2:14" ht="45" x14ac:dyDescent="0.25">
      <c r="B53" s="163" t="s">
        <v>75</v>
      </c>
      <c r="C53" s="164" t="s">
        <v>153</v>
      </c>
      <c r="D53" s="164" t="s">
        <v>153</v>
      </c>
      <c r="E53" s="164" t="s">
        <v>137</v>
      </c>
      <c r="F53" s="327"/>
      <c r="G53" s="164" t="s">
        <v>153</v>
      </c>
      <c r="H53" s="165" t="s">
        <v>138</v>
      </c>
      <c r="I53" s="166" t="s">
        <v>139</v>
      </c>
      <c r="J53" s="167" t="s">
        <v>140</v>
      </c>
      <c r="K53" s="330"/>
      <c r="L53" s="168" t="s">
        <v>141</v>
      </c>
      <c r="M53" s="165" t="s">
        <v>151</v>
      </c>
      <c r="N53" s="165" t="s">
        <v>143</v>
      </c>
    </row>
    <row r="54" spans="2:14" x14ac:dyDescent="0.25">
      <c r="B54" s="158" t="s">
        <v>60</v>
      </c>
      <c r="C54" s="176">
        <v>6.768388342112E-2</v>
      </c>
      <c r="D54" s="160">
        <v>21.835289461015847</v>
      </c>
      <c r="E54" s="178">
        <f>((1-EXP(-($C$6)*D54))/($C$6))</f>
        <v>16.826781946772538</v>
      </c>
      <c r="F54" s="327"/>
      <c r="G54" s="169">
        <v>23.313724623785301</v>
      </c>
      <c r="H54" s="179">
        <f>((1-EXP(-($C$6)*G54))/($C$6))</f>
        <v>17.667649137601984</v>
      </c>
      <c r="I54" s="180">
        <f>C54*E54*$C$5</f>
        <v>149196.15514057263</v>
      </c>
      <c r="J54" s="181">
        <f>C54*E54*$C$5/2</f>
        <v>74598.077570286317</v>
      </c>
      <c r="K54" s="330"/>
      <c r="L54" s="182">
        <f>H54*$C$5</f>
        <v>2314462.03702586</v>
      </c>
      <c r="M54" s="162">
        <v>2170</v>
      </c>
      <c r="N54" s="183">
        <f>M54*E54</f>
        <v>36514.116824496406</v>
      </c>
    </row>
    <row r="55" spans="2:14" ht="45" x14ac:dyDescent="0.25">
      <c r="B55" s="163" t="s">
        <v>75</v>
      </c>
      <c r="C55" s="164" t="s">
        <v>154</v>
      </c>
      <c r="D55" s="164" t="s">
        <v>154</v>
      </c>
      <c r="E55" s="164" t="s">
        <v>137</v>
      </c>
      <c r="F55" s="327"/>
      <c r="G55" s="164" t="s">
        <v>154</v>
      </c>
      <c r="H55" s="165" t="s">
        <v>138</v>
      </c>
      <c r="I55" s="166" t="s">
        <v>139</v>
      </c>
      <c r="J55" s="167" t="s">
        <v>140</v>
      </c>
      <c r="K55" s="330"/>
      <c r="L55" s="168" t="s">
        <v>141</v>
      </c>
      <c r="M55" s="165" t="s">
        <v>155</v>
      </c>
      <c r="N55" s="165" t="s">
        <v>143</v>
      </c>
    </row>
    <row r="56" spans="2:14" x14ac:dyDescent="0.25">
      <c r="B56" s="158" t="s">
        <v>61</v>
      </c>
      <c r="C56" s="176">
        <v>4.4501282525087678E-2</v>
      </c>
      <c r="D56" s="160">
        <v>12.798651424043726</v>
      </c>
      <c r="E56" s="178">
        <f>((1-EXP(-($C$6)*D56))/($C$6))</f>
        <v>10.953059233412409</v>
      </c>
      <c r="F56" s="327"/>
      <c r="G56" s="169">
        <v>22.52876721538637</v>
      </c>
      <c r="H56" s="179">
        <f>((1-EXP(-($C$6)*G56))/($C$6))</f>
        <v>17.225072183351976</v>
      </c>
      <c r="I56" s="180">
        <f>C56*E56*$C$5</f>
        <v>63852.699033273871</v>
      </c>
      <c r="J56" s="181">
        <f>C56*E56*$C$5/2</f>
        <v>31926.349516636936</v>
      </c>
      <c r="K56" s="330"/>
      <c r="L56" s="182">
        <f>H56*$C$5</f>
        <v>2256484.4560191091</v>
      </c>
      <c r="M56" s="162">
        <v>950</v>
      </c>
      <c r="N56" s="183">
        <f>M56*E56</f>
        <v>10405.406271741789</v>
      </c>
    </row>
    <row r="57" spans="2:14" ht="56.25" x14ac:dyDescent="0.25">
      <c r="B57" s="163" t="s">
        <v>75</v>
      </c>
      <c r="C57" s="164" t="s">
        <v>163</v>
      </c>
      <c r="D57" s="164" t="s">
        <v>163</v>
      </c>
      <c r="E57" s="164" t="s">
        <v>137</v>
      </c>
      <c r="F57" s="327"/>
      <c r="G57" s="164" t="s">
        <v>163</v>
      </c>
      <c r="H57" s="165" t="s">
        <v>138</v>
      </c>
      <c r="I57" s="166" t="s">
        <v>139</v>
      </c>
      <c r="J57" s="167" t="s">
        <v>140</v>
      </c>
      <c r="K57" s="330"/>
      <c r="L57" s="168" t="s">
        <v>141</v>
      </c>
      <c r="M57" s="165" t="s">
        <v>157</v>
      </c>
      <c r="N57" s="165" t="s">
        <v>143</v>
      </c>
    </row>
    <row r="58" spans="2:14" x14ac:dyDescent="0.25">
      <c r="B58" s="158" t="s">
        <v>62</v>
      </c>
      <c r="C58" s="176">
        <v>0.12836333494323868</v>
      </c>
      <c r="D58" s="160">
        <v>7.3215633435643177</v>
      </c>
      <c r="E58" s="178">
        <f>((1-EXP(-($C$6)*D58))/($C$6))</f>
        <v>6.6905756478120182</v>
      </c>
      <c r="F58" s="327"/>
      <c r="G58" s="169">
        <v>21.125641014842774</v>
      </c>
      <c r="H58" s="179">
        <f>((1-EXP(-($C$6)*G58))/($C$6))</f>
        <v>16.411992437577261</v>
      </c>
      <c r="I58" s="180">
        <f>C58*E58*$C$5</f>
        <v>112506.02297245529</v>
      </c>
      <c r="J58" s="181">
        <f>C58*E58*$C$5/2</f>
        <v>56253.011486227646</v>
      </c>
      <c r="K58" s="330"/>
      <c r="L58" s="182">
        <f>H58*$C$5</f>
        <v>2149971.0093226214</v>
      </c>
      <c r="M58" s="162">
        <v>3400</v>
      </c>
      <c r="N58" s="183">
        <f>M58*E58</f>
        <v>22747.957202560861</v>
      </c>
    </row>
    <row r="59" spans="2:14" ht="56.25" x14ac:dyDescent="0.25">
      <c r="B59" s="163" t="s">
        <v>75</v>
      </c>
      <c r="C59" s="164" t="s">
        <v>158</v>
      </c>
      <c r="D59" s="164" t="s">
        <v>158</v>
      </c>
      <c r="E59" s="164" t="s">
        <v>137</v>
      </c>
      <c r="F59" s="327"/>
      <c r="G59" s="164" t="s">
        <v>158</v>
      </c>
      <c r="H59" s="165" t="s">
        <v>138</v>
      </c>
      <c r="I59" s="166" t="s">
        <v>139</v>
      </c>
      <c r="J59" s="167" t="s">
        <v>140</v>
      </c>
      <c r="K59" s="330"/>
      <c r="L59" s="168" t="s">
        <v>141</v>
      </c>
      <c r="M59" s="165" t="s">
        <v>159</v>
      </c>
      <c r="N59" s="165" t="s">
        <v>143</v>
      </c>
    </row>
    <row r="60" spans="2:14" x14ac:dyDescent="0.25">
      <c r="B60" s="158" t="s">
        <v>63</v>
      </c>
      <c r="C60" s="176">
        <v>0.14808514439720857</v>
      </c>
      <c r="D60" s="160">
        <v>9.1009518542916492</v>
      </c>
      <c r="E60" s="178">
        <f>((1-EXP(-($C$6)*D60))/($C$6))</f>
        <v>8.1398613043648105</v>
      </c>
      <c r="F60" s="327"/>
      <c r="G60" s="169">
        <v>20.19183835226027</v>
      </c>
      <c r="H60" s="179">
        <f>((1-EXP(-($C$6)*G60))/($C$6))</f>
        <v>15.854850880455954</v>
      </c>
      <c r="I60" s="180">
        <f>C60*E60*$C$5</f>
        <v>157906.42229854487</v>
      </c>
      <c r="J60" s="181">
        <f>C60*E60*$C$5/2</f>
        <v>78953.211149272436</v>
      </c>
      <c r="K60" s="330"/>
      <c r="L60" s="182">
        <f>H60*$C$5</f>
        <v>2076985.46533973</v>
      </c>
      <c r="M60" s="162">
        <v>3950</v>
      </c>
      <c r="N60" s="183">
        <f>M60*E60</f>
        <v>32152.452152241003</v>
      </c>
    </row>
    <row r="61" spans="2:14" ht="45.75" thickBot="1" x14ac:dyDescent="0.3">
      <c r="B61" s="170" t="s">
        <v>75</v>
      </c>
      <c r="C61" s="171" t="s">
        <v>160</v>
      </c>
      <c r="D61" s="171" t="s">
        <v>160</v>
      </c>
      <c r="E61" s="164" t="s">
        <v>137</v>
      </c>
      <c r="F61" s="328"/>
      <c r="G61" s="171" t="s">
        <v>160</v>
      </c>
      <c r="H61" s="172" t="s">
        <v>138</v>
      </c>
      <c r="I61" s="173" t="s">
        <v>139</v>
      </c>
      <c r="J61" s="174" t="s">
        <v>140</v>
      </c>
      <c r="K61" s="331"/>
      <c r="L61" s="175" t="s">
        <v>141</v>
      </c>
      <c r="M61" s="172" t="s">
        <v>161</v>
      </c>
      <c r="N61" s="172" t="s">
        <v>143</v>
      </c>
    </row>
    <row r="63" spans="2:14" x14ac:dyDescent="0.25">
      <c r="B63" s="310" t="s">
        <v>183</v>
      </c>
    </row>
    <row r="64" spans="2:14" x14ac:dyDescent="0.25">
      <c r="B64" s="112" t="s">
        <v>164</v>
      </c>
    </row>
    <row r="65" spans="2:2" x14ac:dyDescent="0.25">
      <c r="B65" s="112" t="s">
        <v>165</v>
      </c>
    </row>
    <row r="67" spans="2:2" x14ac:dyDescent="0.25">
      <c r="B67" s="112" t="s">
        <v>166</v>
      </c>
    </row>
    <row r="68" spans="2:2" x14ac:dyDescent="0.25">
      <c r="B68" s="113" t="s">
        <v>167</v>
      </c>
    </row>
  </sheetData>
  <mergeCells count="19">
    <mergeCell ref="G11:H12"/>
    <mergeCell ref="K14:K35"/>
    <mergeCell ref="M7:N8"/>
    <mergeCell ref="I7:L7"/>
    <mergeCell ref="I8:J8"/>
    <mergeCell ref="K8:L8"/>
    <mergeCell ref="B1:N1"/>
    <mergeCell ref="F40:F61"/>
    <mergeCell ref="K40:K61"/>
    <mergeCell ref="C37:E38"/>
    <mergeCell ref="G37:H38"/>
    <mergeCell ref="I37:J38"/>
    <mergeCell ref="L37:L38"/>
    <mergeCell ref="B36:N36"/>
    <mergeCell ref="F14:F35"/>
    <mergeCell ref="C11:E12"/>
    <mergeCell ref="I11:J12"/>
    <mergeCell ref="L11:L12"/>
    <mergeCell ref="B10:N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 LIRE EN PREMIER</vt:lpstr>
      <vt:lpstr>Résultats</vt:lpstr>
      <vt:lpstr>Paramètres et valeurs</vt:lpstr>
      <vt:lpstr>Annexe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MEURISSE Benedicte</dc:creator>
  <cp:keywords/>
  <dc:description/>
  <cp:lastModifiedBy>Alice Robinet</cp:lastModifiedBy>
  <cp:revision/>
  <dcterms:created xsi:type="dcterms:W3CDTF">2020-12-17T18:00:27Z</dcterms:created>
  <dcterms:modified xsi:type="dcterms:W3CDTF">2022-03-08T09:21:51Z</dcterms:modified>
  <cp:category/>
  <cp:contentStatus/>
</cp:coreProperties>
</file>